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1640" tabRatio="878" activeTab="0"/>
  </bookViews>
  <sheets>
    <sheet name="손익계산서" sheetId="1" r:id="rId1"/>
  </sheets>
  <definedNames/>
  <calcPr fullCalcOnLoad="1"/>
</workbook>
</file>

<file path=xl/comments1.xml><?xml version="1.0" encoding="utf-8"?>
<comments xmlns="http://schemas.openxmlformats.org/spreadsheetml/2006/main">
  <authors>
    <author>김타ㅣ</author>
    <author>Owner</author>
    <author>zzizzippo</author>
  </authors>
  <commentList>
    <comment ref="A13" authorId="0">
      <text>
        <r>
          <rPr>
            <b/>
            <sz val="9"/>
            <rFont val="돋움"/>
            <family val="3"/>
          </rPr>
          <t>관리부분과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관련하여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발생하는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경비를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아래와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같은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계정과목에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넣어주세요</t>
        </r>
      </text>
    </comment>
    <comment ref="A39" authorId="0">
      <text>
        <r>
          <rPr>
            <b/>
            <sz val="9"/>
            <rFont val="돋움"/>
            <family val="3"/>
          </rPr>
          <t>사업이익</t>
        </r>
        <r>
          <rPr>
            <b/>
            <sz val="9"/>
            <rFont val="Tahoma"/>
            <family val="2"/>
          </rPr>
          <t xml:space="preserve"> = </t>
        </r>
        <r>
          <rPr>
            <b/>
            <sz val="9"/>
            <rFont val="돋움"/>
            <family val="3"/>
          </rPr>
          <t>기본금수입</t>
        </r>
        <r>
          <rPr>
            <b/>
            <sz val="9"/>
            <rFont val="Tahoma"/>
            <family val="2"/>
          </rPr>
          <t xml:space="preserve"> -</t>
        </r>
        <r>
          <rPr>
            <b/>
            <sz val="9"/>
            <rFont val="돋움"/>
            <family val="3"/>
          </rPr>
          <t>목적사업비</t>
        </r>
        <r>
          <rPr>
            <b/>
            <sz val="9"/>
            <rFont val="Tahoma"/>
            <family val="2"/>
          </rPr>
          <t xml:space="preserve"> - </t>
        </r>
        <r>
          <rPr>
            <b/>
            <sz val="9"/>
            <rFont val="돋움"/>
            <family val="3"/>
          </rPr>
          <t>일반관리비</t>
        </r>
      </text>
    </comment>
    <comment ref="A42" authorId="0">
      <text>
        <r>
          <rPr>
            <b/>
            <sz val="9"/>
            <rFont val="돋움"/>
            <family val="3"/>
          </rPr>
          <t>당기순이익</t>
        </r>
        <r>
          <rPr>
            <b/>
            <sz val="9"/>
            <rFont val="Tahoma"/>
            <family val="2"/>
          </rPr>
          <t xml:space="preserve"> = </t>
        </r>
        <r>
          <rPr>
            <b/>
            <sz val="9"/>
            <rFont val="돋움"/>
            <family val="3"/>
          </rPr>
          <t>사업이익</t>
        </r>
        <r>
          <rPr>
            <b/>
            <sz val="9"/>
            <rFont val="Tahoma"/>
            <family val="2"/>
          </rPr>
          <t xml:space="preserve"> + </t>
        </r>
        <r>
          <rPr>
            <b/>
            <sz val="9"/>
            <rFont val="돋움"/>
            <family val="3"/>
          </rPr>
          <t>사업외수익</t>
        </r>
        <r>
          <rPr>
            <b/>
            <sz val="9"/>
            <rFont val="Tahoma"/>
            <family val="2"/>
          </rPr>
          <t>-</t>
        </r>
        <r>
          <rPr>
            <b/>
            <sz val="9"/>
            <rFont val="돋움"/>
            <family val="3"/>
          </rPr>
          <t>사업외비용</t>
        </r>
      </text>
    </comment>
    <comment ref="A12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예금이자</t>
        </r>
      </text>
    </comment>
    <comment ref="A8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사업단별 매출수입</t>
        </r>
      </text>
    </comment>
    <comment ref="A9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센터운영비, 자활근로사업비, 자활사례관리사업비,기금(공사+교육), 주거현물급여</t>
        </r>
      </text>
    </comment>
    <comment ref="A10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기증물품(장비 등)</t>
        </r>
      </text>
    </comment>
    <comment ref="A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월급, 수당, 상여</t>
        </r>
      </text>
    </comment>
    <comment ref="A16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4</t>
        </r>
        <r>
          <rPr>
            <sz val="9"/>
            <rFont val="돋움"/>
            <family val="3"/>
          </rPr>
          <t>대보험, 업무추진비</t>
        </r>
      </text>
    </comment>
    <comment ref="A18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전화, 팩스, 상하수도, 난방, 전기, 택배비, 우편발송비 등</t>
        </r>
      </text>
    </comment>
    <comment ref="A19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유류대, 수리비, 검사비 등</t>
        </r>
      </text>
    </comment>
    <comment ref="A20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건물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기계, 공기구, 비품수리 및 유지보수비 등</t>
        </r>
      </text>
    </comment>
    <comment ref="A22" authorId="1">
      <text>
        <r>
          <rPr>
            <b/>
            <sz val="9"/>
            <rFont val="Tahoma"/>
            <family val="2"/>
          </rPr>
          <t xml:space="preserve">Owner:
</t>
        </r>
        <r>
          <rPr>
            <sz val="9"/>
            <rFont val="돋움"/>
            <family val="3"/>
          </rPr>
          <t>복사기,팩스부품 교체비, 건전지, 빗자루 등 100만원 미만으로 구입한 항목</t>
        </r>
      </text>
    </comment>
    <comment ref="A23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강사초청료, 연수원임차료, 훈련비, 학원연수비</t>
        </r>
      </text>
    </comment>
    <comment ref="A2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신문구독료, 도서, 인쇄, 복사, 명함인쇄비용 등</t>
        </r>
      </text>
    </comment>
    <comment ref="A25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자동차보험, 보증보험, 책임보험, 화재보험, 손해보험 등</t>
        </r>
      </text>
    </comment>
    <comment ref="A27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회의시 식대 및 차대, 회의장소임차비, 회의용 소모품비 등</t>
        </r>
      </text>
    </comment>
    <comment ref="A28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자동차세, 협회비</t>
        </r>
      </text>
    </comment>
    <comment ref="A29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사무실임차료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복사기팩스 임차료, 렌탈료 등</t>
        </r>
      </text>
    </comment>
    <comment ref="A30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차량, 기계, 비품 등 유형자산의 감소되는 자산 비용</t>
        </r>
      </text>
    </comment>
    <comment ref="A31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신용카드수수료, 세무수수료, 이체수수료 등</t>
        </r>
      </text>
    </comment>
    <comment ref="A32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인쇄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광고, 구인구직비, 법인결산공고료, 간판제작비 등</t>
        </r>
      </text>
    </comment>
    <comment ref="A33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법인전입금</t>
        </r>
      </text>
    </comment>
    <comment ref="A38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기타손실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미지급금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미지급비용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전기오류확인금액</t>
        </r>
      </text>
    </comment>
    <comment ref="A11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법인전입금</t>
        </r>
      </text>
    </comment>
    <comment ref="C12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장비매각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자활기업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장비매각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법인전입금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이자</t>
        </r>
      </text>
    </comment>
    <comment ref="F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사업비+매출+내일키움,자립성과금</t>
        </r>
      </text>
    </comment>
    <comment ref="G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사업비+내일키움,자립성과금</t>
        </r>
      </text>
    </comment>
    <comment ref="I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J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K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L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M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N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O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P14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</t>
        </r>
        <r>
          <rPr>
            <sz val="9"/>
            <rFont val="Tahoma"/>
            <family val="2"/>
          </rPr>
          <t>+</t>
        </r>
        <r>
          <rPr>
            <sz val="9"/>
            <rFont val="돋움"/>
            <family val="3"/>
          </rPr>
          <t>내일키움</t>
        </r>
        <r>
          <rPr>
            <sz val="9"/>
            <rFont val="Tahoma"/>
            <family val="2"/>
          </rPr>
          <t>,</t>
        </r>
        <r>
          <rPr>
            <sz val="9"/>
            <rFont val="돋움"/>
            <family val="3"/>
          </rPr>
          <t>자립성과금</t>
        </r>
      </text>
    </comment>
    <comment ref="C9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사업비+종사자해외연수비</t>
        </r>
      </text>
    </comment>
    <comment ref="S9" authorId="1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게이트+사례전담+예비비</t>
        </r>
      </text>
    </comment>
    <comment ref="A37" authorId="2">
      <text>
        <r>
          <rPr>
            <b/>
            <sz val="9"/>
            <rFont val="Tahoma"/>
            <family val="2"/>
          </rPr>
          <t>owner: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재료비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중앙자산키움펀드</t>
        </r>
      </text>
    </comment>
  </commentList>
</comments>
</file>

<file path=xl/sharedStrings.xml><?xml version="1.0" encoding="utf-8"?>
<sst xmlns="http://schemas.openxmlformats.org/spreadsheetml/2006/main" count="67" uniqueCount="67">
  <si>
    <r>
      <t>손</t>
    </r>
    <r>
      <rPr>
        <b/>
        <sz val="20"/>
        <color indexed="8"/>
        <rFont val="굴림체"/>
        <family val="3"/>
      </rPr>
      <t xml:space="preserve">  </t>
    </r>
    <r>
      <rPr>
        <b/>
        <sz val="20"/>
        <color indexed="8"/>
        <rFont val="굴림"/>
        <family val="3"/>
      </rPr>
      <t>익</t>
    </r>
    <r>
      <rPr>
        <b/>
        <sz val="20"/>
        <color indexed="8"/>
        <rFont val="굴림체"/>
        <family val="3"/>
      </rPr>
      <t xml:space="preserve">  </t>
    </r>
    <r>
      <rPr>
        <b/>
        <sz val="20"/>
        <color indexed="8"/>
        <rFont val="굴림"/>
        <family val="3"/>
      </rPr>
      <t>계</t>
    </r>
    <r>
      <rPr>
        <b/>
        <sz val="20"/>
        <color indexed="8"/>
        <rFont val="굴림체"/>
        <family val="3"/>
      </rPr>
      <t xml:space="preserve">  </t>
    </r>
    <r>
      <rPr>
        <b/>
        <sz val="20"/>
        <color indexed="8"/>
        <rFont val="굴림"/>
        <family val="3"/>
      </rPr>
      <t>산</t>
    </r>
    <r>
      <rPr>
        <b/>
        <sz val="20"/>
        <color indexed="8"/>
        <rFont val="굴림체"/>
        <family val="3"/>
      </rPr>
      <t xml:space="preserve">  </t>
    </r>
    <r>
      <rPr>
        <b/>
        <sz val="20"/>
        <color indexed="8"/>
        <rFont val="굴림"/>
        <family val="3"/>
      </rPr>
      <t>서</t>
    </r>
  </si>
  <si>
    <t>(단위 : 원)</t>
  </si>
  <si>
    <t xml:space="preserve">    1. 후   원   수   익</t>
  </si>
  <si>
    <t xml:space="preserve">    3. 사   업   수   익</t>
  </si>
  <si>
    <t xml:space="preserve">    5. 현   물   수   익</t>
  </si>
  <si>
    <t>합계</t>
  </si>
  <si>
    <t>자활사례관리사업</t>
  </si>
  <si>
    <t>센터운영</t>
  </si>
  <si>
    <t>한지공예사업</t>
  </si>
  <si>
    <t>간식반찬사업</t>
  </si>
  <si>
    <t>물세탁사업</t>
  </si>
  <si>
    <t>복지간병사업</t>
  </si>
  <si>
    <t>장통보조원사업</t>
  </si>
  <si>
    <t>양곡배송사업</t>
  </si>
  <si>
    <t>과수재배사업</t>
  </si>
  <si>
    <t>낚시바늘사업</t>
  </si>
  <si>
    <t>커피사업</t>
  </si>
  <si>
    <t>게이트웨이</t>
  </si>
  <si>
    <t>가사간병도우미
사업</t>
  </si>
  <si>
    <t>장애인활동지원
사업</t>
  </si>
  <si>
    <t>방문목욕</t>
  </si>
  <si>
    <t>노인돌봄
종합서비스사업</t>
  </si>
  <si>
    <t>자활도우미사업</t>
  </si>
  <si>
    <t>(사)함께사는세상 - 지역자활센터</t>
  </si>
  <si>
    <r>
      <t>과</t>
    </r>
    <r>
      <rPr>
        <sz val="10"/>
        <color indexed="8"/>
        <rFont val="굴림체"/>
        <family val="3"/>
      </rPr>
      <t xml:space="preserve">   목</t>
    </r>
  </si>
  <si>
    <r>
      <t>Ⅰ</t>
    </r>
    <r>
      <rPr>
        <b/>
        <sz val="10"/>
        <color indexed="8"/>
        <rFont val="굴림체"/>
        <family val="3"/>
      </rPr>
      <t>. 기  본  금  수  입</t>
    </r>
  </si>
  <si>
    <r>
      <t xml:space="preserve">    2. </t>
    </r>
    <r>
      <rPr>
        <sz val="10"/>
        <color indexed="8"/>
        <rFont val="굴림체"/>
        <family val="3"/>
      </rPr>
      <t>회   비   수   익</t>
    </r>
  </si>
  <si>
    <r>
      <t xml:space="preserve">    1. </t>
    </r>
    <r>
      <rPr>
        <sz val="10"/>
        <color indexed="8"/>
        <rFont val="굴림체"/>
        <family val="3"/>
      </rPr>
      <t>급           여</t>
    </r>
  </si>
  <si>
    <r>
      <t xml:space="preserve">    2. </t>
    </r>
    <r>
      <rPr>
        <sz val="10"/>
        <color indexed="8"/>
        <rFont val="굴림체"/>
        <family val="3"/>
      </rPr>
      <t>퇴  직   급  여</t>
    </r>
  </si>
  <si>
    <r>
      <t xml:space="preserve">    3. </t>
    </r>
    <r>
      <rPr>
        <sz val="10"/>
        <color indexed="8"/>
        <rFont val="굴림체"/>
        <family val="3"/>
      </rPr>
      <t>복 리  후 생 비</t>
    </r>
  </si>
  <si>
    <r>
      <t xml:space="preserve">    4. </t>
    </r>
    <r>
      <rPr>
        <sz val="10"/>
        <color indexed="8"/>
        <rFont val="굴림체"/>
        <family val="3"/>
      </rPr>
      <t>여 비  교 통 비</t>
    </r>
  </si>
  <si>
    <r>
      <t xml:space="preserve">    5. </t>
    </r>
    <r>
      <rPr>
        <sz val="10"/>
        <color indexed="8"/>
        <rFont val="굴림체"/>
        <family val="3"/>
      </rPr>
      <t>통 신  전 력 비</t>
    </r>
  </si>
  <si>
    <r>
      <t xml:space="preserve">    6. </t>
    </r>
    <r>
      <rPr>
        <sz val="10"/>
        <color indexed="8"/>
        <rFont val="굴림체"/>
        <family val="3"/>
      </rPr>
      <t>차 량 유 지  비</t>
    </r>
  </si>
  <si>
    <r>
      <t xml:space="preserve">    7. </t>
    </r>
    <r>
      <rPr>
        <sz val="10"/>
        <color indexed="8"/>
        <rFont val="굴림체"/>
        <family val="3"/>
      </rPr>
      <t>수    선     비</t>
    </r>
  </si>
  <si>
    <r>
      <t xml:space="preserve">    8. </t>
    </r>
    <r>
      <rPr>
        <sz val="10"/>
        <color indexed="8"/>
        <rFont val="굴림체"/>
        <family val="3"/>
      </rPr>
      <t>사 무 용 품  비</t>
    </r>
  </si>
  <si>
    <r>
      <t xml:space="preserve">    9. </t>
    </r>
    <r>
      <rPr>
        <sz val="10"/>
        <color indexed="8"/>
        <rFont val="굴림체"/>
        <family val="3"/>
      </rPr>
      <t>소  모   품  비</t>
    </r>
  </si>
  <si>
    <r>
      <t xml:space="preserve">    10. </t>
    </r>
    <r>
      <rPr>
        <sz val="10"/>
        <color indexed="8"/>
        <rFont val="굴림체"/>
        <family val="3"/>
      </rPr>
      <t>교 육 훈 련 비</t>
    </r>
  </si>
  <si>
    <r>
      <t xml:space="preserve">    11. </t>
    </r>
    <r>
      <rPr>
        <sz val="10"/>
        <color indexed="8"/>
        <rFont val="굴림체"/>
        <family val="3"/>
      </rPr>
      <t>도 서 인 쇄 비</t>
    </r>
  </si>
  <si>
    <r>
      <t xml:space="preserve">    12. </t>
    </r>
    <r>
      <rPr>
        <sz val="10"/>
        <color indexed="8"/>
        <rFont val="굴림체"/>
        <family val="3"/>
      </rPr>
      <t>보    험    료</t>
    </r>
  </si>
  <si>
    <r>
      <t xml:space="preserve">    13. </t>
    </r>
    <r>
      <rPr>
        <sz val="10"/>
        <color indexed="8"/>
        <rFont val="굴림체"/>
        <family val="3"/>
      </rPr>
      <t>운    반    비</t>
    </r>
  </si>
  <si>
    <r>
      <t xml:space="preserve">    14. </t>
    </r>
    <r>
      <rPr>
        <sz val="10"/>
        <color indexed="8"/>
        <rFont val="굴림체"/>
        <family val="3"/>
      </rPr>
      <t>회    의    비</t>
    </r>
  </si>
  <si>
    <r>
      <t xml:space="preserve">    15. </t>
    </r>
    <r>
      <rPr>
        <sz val="10"/>
        <color indexed="8"/>
        <rFont val="굴림체"/>
        <family val="3"/>
      </rPr>
      <t>세 금 과 공 과</t>
    </r>
  </si>
  <si>
    <r>
      <t xml:space="preserve">    16. </t>
    </r>
    <r>
      <rPr>
        <sz val="10"/>
        <color indexed="8"/>
        <rFont val="굴림체"/>
        <family val="3"/>
      </rPr>
      <t>지 급 임 차 료</t>
    </r>
  </si>
  <si>
    <r>
      <t xml:space="preserve">    18. </t>
    </r>
    <r>
      <rPr>
        <sz val="10"/>
        <color indexed="8"/>
        <rFont val="굴림체"/>
        <family val="3"/>
      </rPr>
      <t>지 급 수 수 료</t>
    </r>
  </si>
  <si>
    <r>
      <t xml:space="preserve">    19. </t>
    </r>
    <r>
      <rPr>
        <sz val="10"/>
        <color indexed="8"/>
        <rFont val="굴림체"/>
        <family val="3"/>
      </rPr>
      <t>광 고 선 전 비</t>
    </r>
  </si>
  <si>
    <r>
      <t xml:space="preserve">    20. </t>
    </r>
    <r>
      <rPr>
        <sz val="10"/>
        <color indexed="8"/>
        <rFont val="굴림체"/>
        <family val="3"/>
      </rPr>
      <t>기 관 전 출 금</t>
    </r>
  </si>
  <si>
    <r>
      <t>Ⅳ</t>
    </r>
    <r>
      <rPr>
        <b/>
        <sz val="10"/>
        <color indexed="8"/>
        <rFont val="굴림체"/>
        <family val="3"/>
      </rPr>
      <t>. 사  업   이   익</t>
    </r>
  </si>
  <si>
    <r>
      <t>Ⅴ</t>
    </r>
    <r>
      <rPr>
        <b/>
        <sz val="10"/>
        <color indexed="8"/>
        <rFont val="굴림체"/>
        <family val="3"/>
      </rPr>
      <t>. 사  업  외  수  익</t>
    </r>
  </si>
  <si>
    <r>
      <t>Ⅵ</t>
    </r>
    <r>
      <rPr>
        <b/>
        <sz val="10"/>
        <color indexed="8"/>
        <rFont val="굴림체"/>
        <family val="3"/>
      </rPr>
      <t>. 사  업  외  비  용</t>
    </r>
  </si>
  <si>
    <r>
      <t>Ⅶ</t>
    </r>
    <r>
      <rPr>
        <b/>
        <sz val="10"/>
        <color indexed="8"/>
        <rFont val="굴림체"/>
        <family val="3"/>
      </rPr>
      <t>. 당  기  순  이  익</t>
    </r>
  </si>
  <si>
    <t xml:space="preserve">    4. 보  조 금  수  익</t>
  </si>
  <si>
    <r>
      <t xml:space="preserve">    17. </t>
    </r>
    <r>
      <rPr>
        <sz val="10"/>
        <color indexed="8"/>
        <rFont val="굴림체"/>
        <family val="3"/>
      </rPr>
      <t>감 가 상 각 비</t>
    </r>
  </si>
  <si>
    <t xml:space="preserve">    21. 급    식    비</t>
  </si>
  <si>
    <t xml:space="preserve">    22. 프 로 그 램 비</t>
  </si>
  <si>
    <t xml:space="preserve">    23. 의    료    비</t>
  </si>
  <si>
    <t xml:space="preserve">    24. 재    료    비</t>
  </si>
  <si>
    <r>
      <t>Ⅱ.</t>
    </r>
    <r>
      <rPr>
        <b/>
        <sz val="10"/>
        <color indexed="8"/>
        <rFont val="굴림체"/>
        <family val="3"/>
      </rPr>
      <t xml:space="preserve"> 일  반  관  리  비</t>
    </r>
  </si>
  <si>
    <t xml:space="preserve">    7. 기   타   수   익</t>
  </si>
  <si>
    <t>양계축산사업</t>
  </si>
  <si>
    <t>이미용사업</t>
  </si>
  <si>
    <t>국수사업</t>
  </si>
  <si>
    <t>공동체인건비지원사업</t>
  </si>
  <si>
    <t>녹색자전거사업</t>
  </si>
  <si>
    <t>자활기금
(교육,공사)</t>
  </si>
  <si>
    <t>현물급여 및
주거환경개선</t>
  </si>
  <si>
    <r>
      <t xml:space="preserve">    2</t>
    </r>
    <r>
      <rPr>
        <sz val="10"/>
        <color indexed="8"/>
        <rFont val="굴림체"/>
        <family val="3"/>
      </rPr>
      <t>6</t>
    </r>
    <r>
      <rPr>
        <sz val="10"/>
        <color indexed="8"/>
        <rFont val="굴림체"/>
        <family val="3"/>
      </rPr>
      <t xml:space="preserve">. </t>
    </r>
    <r>
      <rPr>
        <sz val="10"/>
        <color indexed="8"/>
        <rFont val="굴림체"/>
        <family val="3"/>
      </rPr>
      <t>잡    손    실</t>
    </r>
  </si>
  <si>
    <r>
      <t xml:space="preserve">    6. 기</t>
    </r>
    <r>
      <rPr>
        <sz val="10"/>
        <color indexed="8"/>
        <rFont val="굴림체"/>
        <family val="3"/>
      </rPr>
      <t xml:space="preserve"> 관</t>
    </r>
    <r>
      <rPr>
        <sz val="10"/>
        <color indexed="8"/>
        <rFont val="굴림체"/>
        <family val="3"/>
      </rPr>
      <t xml:space="preserve">  전  입  금</t>
    </r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</si>
</sst>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_-* #,##0.000_-;\-* #,##0.000_-;_-* &quot;-&quot;_-;_-@_-"/>
    <numFmt numFmtId="179" formatCode="mm&quot;월&quot;\ dd&quot;일&quot;"/>
    <numFmt numFmtId="180" formatCode="m&quot;/&quot;d"/>
    <numFmt numFmtId="181" formatCode="#,##0;[Red]#,##0"/>
    <numFmt numFmtId="182" formatCode="#,##0_ "/>
    <numFmt numFmtId="183" formatCode="#,##0.000_);\(#,##0.000\)"/>
    <numFmt numFmtId="184" formatCode="mmm/yyyy"/>
    <numFmt numFmtId="185" formatCode="_ * #,##0_ ;_ * \-#,##0_ ;_ * &quot;-&quot;_ ;_ @_ "/>
    <numFmt numFmtId="186" formatCode="m&quot;/&quot;d;@"/>
    <numFmt numFmtId="187" formatCode="[$-412]yyyy&quot;년&quot;\ m&quot;월&quot;\ d&quot;일&quot;\ dddd"/>
    <numFmt numFmtId="188" formatCode="[$-412]AM/PM\ h:mm:ss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b/>
      <sz val="20"/>
      <color indexed="8"/>
      <name val="굴림"/>
      <family val="3"/>
    </font>
    <font>
      <b/>
      <sz val="20"/>
      <color indexed="8"/>
      <name val="굴림체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9"/>
      <name val="돋움"/>
      <family val="3"/>
    </font>
    <font>
      <sz val="11"/>
      <name val="돋움"/>
      <family val="3"/>
    </font>
    <font>
      <sz val="9"/>
      <color indexed="8"/>
      <name val="굴림체"/>
      <family val="3"/>
    </font>
    <font>
      <sz val="10"/>
      <name val="Arial"/>
      <family val="2"/>
    </font>
    <font>
      <b/>
      <sz val="11"/>
      <color indexed="8"/>
      <name val="맑은 고딕"/>
      <family val="3"/>
    </font>
    <font>
      <b/>
      <sz val="11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1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000077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0" fontId="38" fillId="30" borderId="3" applyNumberFormat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2" fillId="31" borderId="1" applyNumberFormat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0" fontId="48" fillId="26" borderId="9" applyNumberFormat="0" applyAlignment="0" applyProtection="0"/>
    <xf numFmtId="0" fontId="48" fillId="26" borderId="9" applyNumberFormat="0" applyAlignment="0" applyProtection="0"/>
    <xf numFmtId="18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182" fontId="15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0" fillId="0" borderId="0" xfId="12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left" vertical="center"/>
    </xf>
    <xf numFmtId="177" fontId="12" fillId="33" borderId="12" xfId="121" applyNumberFormat="1" applyFont="1" applyFill="1" applyBorder="1" applyAlignment="1">
      <alignment horizontal="center" vertical="center"/>
    </xf>
    <xf numFmtId="177" fontId="12" fillId="33" borderId="13" xfId="121" applyNumberFormat="1" applyFont="1" applyFill="1" applyBorder="1" applyAlignment="1">
      <alignment horizontal="center" vertical="center"/>
    </xf>
    <xf numFmtId="177" fontId="12" fillId="33" borderId="10" xfId="121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7" fontId="12" fillId="33" borderId="12" xfId="121" applyNumberFormat="1" applyFont="1" applyFill="1" applyBorder="1" applyAlignment="1">
      <alignment horizontal="center" vertical="center" wrapText="1"/>
    </xf>
    <xf numFmtId="177" fontId="12" fillId="33" borderId="13" xfId="121" applyNumberFormat="1" applyFont="1" applyFill="1" applyBorder="1" applyAlignment="1">
      <alignment horizontal="center" vertical="center" wrapText="1"/>
    </xf>
  </cellXfs>
  <cellStyles count="259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2 2" xfId="98"/>
    <cellStyle name="메모 2 3" xfId="99"/>
    <cellStyle name="메모 3" xfId="100"/>
    <cellStyle name="메모 3 2" xfId="101"/>
    <cellStyle name="메모 3 3" xfId="102"/>
    <cellStyle name="메모 4" xfId="103"/>
    <cellStyle name="Percent" xfId="104"/>
    <cellStyle name="백분율 2" xfId="105"/>
    <cellStyle name="백분율 2 2" xfId="106"/>
    <cellStyle name="백분율 2 2 2" xfId="107"/>
    <cellStyle name="백분율 2 3" xfId="108"/>
    <cellStyle name="백분율 3" xfId="109"/>
    <cellStyle name="보통" xfId="110"/>
    <cellStyle name="보통 2" xfId="111"/>
    <cellStyle name="보통 3" xfId="112"/>
    <cellStyle name="설명 텍스트" xfId="113"/>
    <cellStyle name="설명 텍스트 2" xfId="114"/>
    <cellStyle name="설명 텍스트 3" xfId="115"/>
    <cellStyle name="셀 확인" xfId="116"/>
    <cellStyle name="셀 확인 2" xfId="117"/>
    <cellStyle name="셀 확인 3" xfId="118"/>
    <cellStyle name="Comma" xfId="119"/>
    <cellStyle name="Comma [0]" xfId="120"/>
    <cellStyle name="쉼표 [0] 2" xfId="121"/>
    <cellStyle name="쉼표 [0] 2 2" xfId="122"/>
    <cellStyle name="쉼표 [0] 2 2 2" xfId="123"/>
    <cellStyle name="쉼표 [0] 2 2 3" xfId="124"/>
    <cellStyle name="쉼표 [0] 2 2 4" xfId="125"/>
    <cellStyle name="쉼표 [0] 2 3" xfId="126"/>
    <cellStyle name="쉼표 [0] 2 3 2" xfId="127"/>
    <cellStyle name="쉼표 [0] 2 3 3" xfId="128"/>
    <cellStyle name="쉼표 [0] 2 4" xfId="129"/>
    <cellStyle name="쉼표 [0] 3" xfId="130"/>
    <cellStyle name="쉼표 [0] 3 2" xfId="131"/>
    <cellStyle name="쉼표 [0] 3 2 2" xfId="132"/>
    <cellStyle name="쉼표 [0] 3 2 3" xfId="133"/>
    <cellStyle name="쉼표 [0] 3 3" xfId="134"/>
    <cellStyle name="쉼표 [0] 4" xfId="135"/>
    <cellStyle name="쉼표 [0] 4 2" xfId="136"/>
    <cellStyle name="쉼표 [0] 4 2 2" xfId="137"/>
    <cellStyle name="쉼표 [0] 4 3" xfId="138"/>
    <cellStyle name="쉼표 [0] 4 3 2" xfId="139"/>
    <cellStyle name="쉼표 [0] 4 4" xfId="140"/>
    <cellStyle name="쉼표 [0] 4 4 2" xfId="141"/>
    <cellStyle name="쉼표 [0] 4 5" xfId="142"/>
    <cellStyle name="쉼표 [0] 4 6" xfId="143"/>
    <cellStyle name="쉼표 [0] 4 7" xfId="144"/>
    <cellStyle name="쉼표 [0] 5" xfId="145"/>
    <cellStyle name="쉼표 [0] 5 2" xfId="146"/>
    <cellStyle name="쉼표 [0] 5 3" xfId="147"/>
    <cellStyle name="쉼표 [0] 6" xfId="148"/>
    <cellStyle name="쉼표 [0] 6 2" xfId="149"/>
    <cellStyle name="쉼표 [0] 6 3" xfId="150"/>
    <cellStyle name="쉼표 [0] 7" xfId="151"/>
    <cellStyle name="쉼표 [0] 7 2" xfId="152"/>
    <cellStyle name="쉼표 [0] 7 3" xfId="153"/>
    <cellStyle name="쉼표 [0] 8" xfId="154"/>
    <cellStyle name="쉼표 [0] 8 2" xfId="155"/>
    <cellStyle name="쉼표 [0] 8 3" xfId="156"/>
    <cellStyle name="쉼표 [0] 9" xfId="157"/>
    <cellStyle name="쉼표 2" xfId="158"/>
    <cellStyle name="쉼표 2 2" xfId="159"/>
    <cellStyle name="연결된 셀" xfId="160"/>
    <cellStyle name="연결된 셀 2" xfId="161"/>
    <cellStyle name="연결된 셀 3" xfId="162"/>
    <cellStyle name="Followed Hyperlink" xfId="163"/>
    <cellStyle name="열어 본 하이퍼링크 2" xfId="164"/>
    <cellStyle name="열어 본 하이퍼링크 3" xfId="165"/>
    <cellStyle name="요약" xfId="166"/>
    <cellStyle name="요약 2" xfId="167"/>
    <cellStyle name="요약 3" xfId="168"/>
    <cellStyle name="입력" xfId="169"/>
    <cellStyle name="입력 2" xfId="170"/>
    <cellStyle name="입력 3" xfId="171"/>
    <cellStyle name="제목" xfId="172"/>
    <cellStyle name="제목 1" xfId="173"/>
    <cellStyle name="제목 1 2" xfId="174"/>
    <cellStyle name="제목 1 3" xfId="175"/>
    <cellStyle name="제목 2" xfId="176"/>
    <cellStyle name="제목 2 2" xfId="177"/>
    <cellStyle name="제목 2 3" xfId="178"/>
    <cellStyle name="제목 3" xfId="179"/>
    <cellStyle name="제목 3 2" xfId="180"/>
    <cellStyle name="제목 3 3" xfId="181"/>
    <cellStyle name="제목 4" xfId="182"/>
    <cellStyle name="제목 4 2" xfId="183"/>
    <cellStyle name="제목 4 3" xfId="184"/>
    <cellStyle name="제목 5" xfId="185"/>
    <cellStyle name="제목 6" xfId="186"/>
    <cellStyle name="좋음" xfId="187"/>
    <cellStyle name="좋음 2" xfId="188"/>
    <cellStyle name="좋음 3" xfId="189"/>
    <cellStyle name="출력" xfId="190"/>
    <cellStyle name="출력 2" xfId="191"/>
    <cellStyle name="출력 3" xfId="192"/>
    <cellStyle name="콤마 [0]_센터실질예산-98" xfId="193"/>
    <cellStyle name="Currency" xfId="194"/>
    <cellStyle name="Currency [0]" xfId="195"/>
    <cellStyle name="표준 10" xfId="196"/>
    <cellStyle name="표준 10 2" xfId="197"/>
    <cellStyle name="표준 11" xfId="198"/>
    <cellStyle name="표준 11 2" xfId="199"/>
    <cellStyle name="표준 12" xfId="200"/>
    <cellStyle name="표준 13" xfId="201"/>
    <cellStyle name="표준 14" xfId="202"/>
    <cellStyle name="표준 15" xfId="203"/>
    <cellStyle name="표준 16" xfId="204"/>
    <cellStyle name="표준 17" xfId="205"/>
    <cellStyle name="표준 18" xfId="206"/>
    <cellStyle name="표준 19" xfId="207"/>
    <cellStyle name="표준 2" xfId="208"/>
    <cellStyle name="표준 2 2" xfId="209"/>
    <cellStyle name="표준 2 3" xfId="210"/>
    <cellStyle name="표준 2 3 2" xfId="211"/>
    <cellStyle name="표준 2 4" xfId="212"/>
    <cellStyle name="표준 20" xfId="213"/>
    <cellStyle name="표준 21" xfId="214"/>
    <cellStyle name="표준 22" xfId="215"/>
    <cellStyle name="표준 23" xfId="216"/>
    <cellStyle name="표준 24" xfId="217"/>
    <cellStyle name="표준 25" xfId="218"/>
    <cellStyle name="표준 26" xfId="219"/>
    <cellStyle name="표준 27" xfId="220"/>
    <cellStyle name="표준 28" xfId="221"/>
    <cellStyle name="표준 29" xfId="222"/>
    <cellStyle name="표준 3" xfId="223"/>
    <cellStyle name="표준 3 2" xfId="224"/>
    <cellStyle name="표준 3 3" xfId="225"/>
    <cellStyle name="표준 30" xfId="226"/>
    <cellStyle name="표준 31" xfId="227"/>
    <cellStyle name="표준 32" xfId="228"/>
    <cellStyle name="표준 33" xfId="229"/>
    <cellStyle name="표준 34" xfId="230"/>
    <cellStyle name="표준 35" xfId="231"/>
    <cellStyle name="표준 36" xfId="232"/>
    <cellStyle name="표준 37" xfId="233"/>
    <cellStyle name="표준 38" xfId="234"/>
    <cellStyle name="표준 39" xfId="235"/>
    <cellStyle name="표준 4" xfId="236"/>
    <cellStyle name="표준 4 2" xfId="237"/>
    <cellStyle name="표준 4 3" xfId="238"/>
    <cellStyle name="표준 40" xfId="239"/>
    <cellStyle name="표준 41" xfId="240"/>
    <cellStyle name="표준 42" xfId="241"/>
    <cellStyle name="표준 43" xfId="242"/>
    <cellStyle name="표준 44" xfId="243"/>
    <cellStyle name="표준 45" xfId="244"/>
    <cellStyle name="표준 46" xfId="245"/>
    <cellStyle name="표준 47" xfId="246"/>
    <cellStyle name="표준 48" xfId="247"/>
    <cellStyle name="표준 49" xfId="248"/>
    <cellStyle name="표준 5" xfId="249"/>
    <cellStyle name="표준 5 2" xfId="250"/>
    <cellStyle name="표준 5 2 2" xfId="251"/>
    <cellStyle name="표준 5 3" xfId="252"/>
    <cellStyle name="표준 5 4" xfId="253"/>
    <cellStyle name="표준 50" xfId="254"/>
    <cellStyle name="표준 51" xfId="255"/>
    <cellStyle name="표준 52" xfId="256"/>
    <cellStyle name="표준 53" xfId="257"/>
    <cellStyle name="표준 54" xfId="258"/>
    <cellStyle name="표준 54 2" xfId="259"/>
    <cellStyle name="표준 6" xfId="260"/>
    <cellStyle name="표준 6 2" xfId="261"/>
    <cellStyle name="표준 6 3" xfId="262"/>
    <cellStyle name="표준 6 4" xfId="263"/>
    <cellStyle name="표준 7" xfId="264"/>
    <cellStyle name="표준 7 2" xfId="265"/>
    <cellStyle name="표준 8" xfId="266"/>
    <cellStyle name="표준 8 2" xfId="267"/>
    <cellStyle name="표준 9" xfId="268"/>
    <cellStyle name="표준 9 2" xfId="269"/>
    <cellStyle name="Hyperlink" xfId="270"/>
    <cellStyle name="하이퍼링크 2" xfId="271"/>
    <cellStyle name="하이퍼링크 3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3" sqref="E43"/>
    </sheetView>
  </sheetViews>
  <sheetFormatPr defaultColWidth="9.140625" defaultRowHeight="15"/>
  <cols>
    <col min="1" max="1" width="23.8515625" style="0" customWidth="1"/>
    <col min="2" max="2" width="14.57421875" style="0" customWidth="1"/>
    <col min="3" max="6" width="12.57421875" style="0" customWidth="1"/>
    <col min="7" max="7" width="12.57421875" style="17" customWidth="1"/>
    <col min="8" max="8" width="12.57421875" style="0" customWidth="1"/>
    <col min="9" max="15" width="12.57421875" style="17" customWidth="1"/>
    <col min="16" max="19" width="12.57421875" style="0" customWidth="1"/>
    <col min="20" max="20" width="12.57421875" style="17" customWidth="1"/>
    <col min="21" max="22" width="12.57421875" style="0" customWidth="1"/>
    <col min="23" max="26" width="12.57421875" style="17" customWidth="1"/>
  </cols>
  <sheetData>
    <row r="1" spans="1:26" ht="25.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6.5">
      <c r="A2" s="26" t="s">
        <v>23</v>
      </c>
      <c r="B2" s="26"/>
      <c r="T2" s="15"/>
      <c r="X2" s="15"/>
      <c r="Z2" s="3" t="s">
        <v>1</v>
      </c>
    </row>
    <row r="3" spans="1:26" ht="11.25" customHeight="1">
      <c r="A3" s="30" t="s">
        <v>24</v>
      </c>
      <c r="B3" s="30" t="s">
        <v>5</v>
      </c>
      <c r="C3" s="27" t="s">
        <v>7</v>
      </c>
      <c r="D3" s="29" t="s">
        <v>6</v>
      </c>
      <c r="E3" s="29" t="s">
        <v>8</v>
      </c>
      <c r="F3" s="29" t="s">
        <v>9</v>
      </c>
      <c r="G3" s="29" t="s">
        <v>13</v>
      </c>
      <c r="H3" s="27" t="s">
        <v>22</v>
      </c>
      <c r="I3" s="29" t="s">
        <v>14</v>
      </c>
      <c r="J3" s="31" t="s">
        <v>62</v>
      </c>
      <c r="K3" s="29" t="s">
        <v>58</v>
      </c>
      <c r="L3" s="29" t="s">
        <v>59</v>
      </c>
      <c r="M3" s="27" t="s">
        <v>16</v>
      </c>
      <c r="N3" s="27" t="s">
        <v>60</v>
      </c>
      <c r="O3" s="29" t="s">
        <v>15</v>
      </c>
      <c r="P3" s="29" t="s">
        <v>10</v>
      </c>
      <c r="Q3" s="29" t="s">
        <v>11</v>
      </c>
      <c r="R3" s="29" t="s">
        <v>12</v>
      </c>
      <c r="S3" s="29" t="s">
        <v>17</v>
      </c>
      <c r="T3" s="29" t="s">
        <v>61</v>
      </c>
      <c r="U3" s="31" t="s">
        <v>18</v>
      </c>
      <c r="V3" s="29" t="s">
        <v>21</v>
      </c>
      <c r="W3" s="29" t="s">
        <v>19</v>
      </c>
      <c r="X3" s="29" t="s">
        <v>20</v>
      </c>
      <c r="Y3" s="29" t="s">
        <v>63</v>
      </c>
      <c r="Z3" s="29" t="s">
        <v>64</v>
      </c>
    </row>
    <row r="4" spans="1:26" ht="11.25" customHeight="1">
      <c r="A4" s="30"/>
      <c r="B4" s="30"/>
      <c r="C4" s="28"/>
      <c r="D4" s="29"/>
      <c r="E4" s="29"/>
      <c r="F4" s="29"/>
      <c r="G4" s="29"/>
      <c r="H4" s="28"/>
      <c r="I4" s="29"/>
      <c r="J4" s="32"/>
      <c r="K4" s="29"/>
      <c r="L4" s="29"/>
      <c r="M4" s="28"/>
      <c r="N4" s="28"/>
      <c r="O4" s="29"/>
      <c r="P4" s="29"/>
      <c r="Q4" s="29"/>
      <c r="R4" s="29"/>
      <c r="S4" s="29"/>
      <c r="T4" s="29"/>
      <c r="U4" s="28"/>
      <c r="V4" s="29"/>
      <c r="W4" s="29"/>
      <c r="X4" s="29"/>
      <c r="Y4" s="29"/>
      <c r="Z4" s="29"/>
    </row>
    <row r="5" spans="1:26" s="2" customFormat="1" ht="11.25" customHeight="1">
      <c r="A5" s="11" t="s">
        <v>25</v>
      </c>
      <c r="B5" s="5">
        <f>SUM(C5:Z5)</f>
        <v>3678541668</v>
      </c>
      <c r="C5" s="5">
        <f>SUM(C6:C12)</f>
        <v>279983702</v>
      </c>
      <c r="D5" s="5">
        <f aca="true" t="shared" si="0" ref="D5:V5">SUM(D6:D12)</f>
        <v>24873000</v>
      </c>
      <c r="E5" s="5">
        <f t="shared" si="0"/>
        <v>29020365</v>
      </c>
      <c r="F5" s="5">
        <f t="shared" si="0"/>
        <v>260302096</v>
      </c>
      <c r="G5" s="5">
        <f>SUM(G6:G12)</f>
        <v>185552499</v>
      </c>
      <c r="H5" s="5">
        <f t="shared" si="0"/>
        <v>7507460</v>
      </c>
      <c r="I5" s="5">
        <f aca="true" t="shared" si="1" ref="I5:O5">SUM(I6:I12)</f>
        <v>121252909</v>
      </c>
      <c r="J5" s="5">
        <f t="shared" si="1"/>
        <v>74154919</v>
      </c>
      <c r="K5" s="5">
        <f t="shared" si="1"/>
        <v>71361255</v>
      </c>
      <c r="L5" s="5">
        <f t="shared" si="1"/>
        <v>55271825</v>
      </c>
      <c r="M5" s="5">
        <f t="shared" si="1"/>
        <v>117801510</v>
      </c>
      <c r="N5" s="5">
        <f t="shared" si="1"/>
        <v>23362491</v>
      </c>
      <c r="O5" s="5">
        <f t="shared" si="1"/>
        <v>186824843</v>
      </c>
      <c r="P5" s="5">
        <f t="shared" si="0"/>
        <v>208857492</v>
      </c>
      <c r="Q5" s="5">
        <f t="shared" si="0"/>
        <v>128468450</v>
      </c>
      <c r="R5" s="5">
        <f t="shared" si="0"/>
        <v>36095630</v>
      </c>
      <c r="S5" s="5">
        <f t="shared" si="0"/>
        <v>97694410</v>
      </c>
      <c r="T5" s="5">
        <f>SUM(T6:T12)</f>
        <v>5544600</v>
      </c>
      <c r="U5" s="5">
        <f t="shared" si="0"/>
        <v>190593991</v>
      </c>
      <c r="V5" s="5">
        <f t="shared" si="0"/>
        <v>262092318</v>
      </c>
      <c r="W5" s="5">
        <f>SUM(W6:W12)</f>
        <v>827852946</v>
      </c>
      <c r="X5" s="5">
        <f>SUM(X6:X12)</f>
        <v>123021031</v>
      </c>
      <c r="Y5" s="5">
        <f>SUM(Y6:Y12)</f>
        <v>195051499</v>
      </c>
      <c r="Z5" s="5">
        <f>SUM(Z6:Z12)</f>
        <v>166000427</v>
      </c>
    </row>
    <row r="6" spans="1:26" ht="11.25" customHeight="1">
      <c r="A6" s="1" t="s">
        <v>2</v>
      </c>
      <c r="B6" s="7">
        <f aca="true" t="shared" si="2" ref="B6:B42">SUM(C6:Z6)</f>
        <v>0</v>
      </c>
      <c r="C6" s="6"/>
      <c r="D6" s="8"/>
      <c r="E6" s="8"/>
      <c r="F6" s="8"/>
      <c r="G6" s="8"/>
      <c r="H6" s="6"/>
      <c r="I6" s="8"/>
      <c r="J6" s="8"/>
      <c r="K6" s="8"/>
      <c r="L6" s="8"/>
      <c r="M6" s="6"/>
      <c r="N6" s="6"/>
      <c r="O6" s="8"/>
      <c r="P6" s="8"/>
      <c r="Q6" s="8"/>
      <c r="R6" s="8"/>
      <c r="S6" s="8"/>
      <c r="T6" s="8"/>
      <c r="U6" s="6"/>
      <c r="V6" s="8"/>
      <c r="W6" s="8"/>
      <c r="X6" s="8"/>
      <c r="Y6" s="8"/>
      <c r="Z6" s="8"/>
    </row>
    <row r="7" spans="1:26" ht="11.25" customHeight="1">
      <c r="A7" s="1" t="s">
        <v>26</v>
      </c>
      <c r="B7" s="7">
        <f t="shared" si="2"/>
        <v>0</v>
      </c>
      <c r="C7" s="6"/>
      <c r="D7" s="8"/>
      <c r="E7" s="8"/>
      <c r="F7" s="8"/>
      <c r="G7" s="8"/>
      <c r="H7" s="6"/>
      <c r="I7" s="8"/>
      <c r="J7" s="8"/>
      <c r="K7" s="8"/>
      <c r="L7" s="8"/>
      <c r="M7" s="6"/>
      <c r="N7" s="6"/>
      <c r="O7" s="8"/>
      <c r="P7" s="8"/>
      <c r="Q7" s="8"/>
      <c r="R7" s="8"/>
      <c r="S7" s="8"/>
      <c r="T7" s="8"/>
      <c r="U7" s="6"/>
      <c r="V7" s="8"/>
      <c r="W7" s="8"/>
      <c r="X7" s="8"/>
      <c r="Y7" s="8"/>
      <c r="Z7" s="8"/>
    </row>
    <row r="8" spans="1:26" ht="11.25" customHeight="1">
      <c r="A8" s="4" t="s">
        <v>3</v>
      </c>
      <c r="B8" s="7">
        <f t="shared" si="2"/>
        <v>1676352990</v>
      </c>
      <c r="C8" s="7"/>
      <c r="D8" s="8"/>
      <c r="E8" s="8">
        <f>11180600</f>
        <v>11180600</v>
      </c>
      <c r="F8" s="8">
        <f>129159000</f>
        <v>129159000</v>
      </c>
      <c r="G8" s="8">
        <v>64758400</v>
      </c>
      <c r="H8" s="7"/>
      <c r="I8" s="8">
        <v>18497000</v>
      </c>
      <c r="J8" s="8">
        <v>8595500</v>
      </c>
      <c r="K8" s="8">
        <v>3957000</v>
      </c>
      <c r="L8" s="8">
        <v>5152664</v>
      </c>
      <c r="M8" s="7">
        <v>28813500</v>
      </c>
      <c r="N8" s="7">
        <f>3124400+1643900</f>
        <v>4768300</v>
      </c>
      <c r="O8" s="8">
        <v>9667800</v>
      </c>
      <c r="P8" s="8">
        <v>320000</v>
      </c>
      <c r="Q8" s="8"/>
      <c r="R8" s="8"/>
      <c r="S8" s="8"/>
      <c r="T8" s="8"/>
      <c r="U8" s="7">
        <v>178587344</v>
      </c>
      <c r="V8" s="8">
        <v>262081598</v>
      </c>
      <c r="W8" s="8">
        <v>827808354</v>
      </c>
      <c r="X8" s="8">
        <v>123005930</v>
      </c>
      <c r="Y8" s="8"/>
      <c r="Z8" s="8"/>
    </row>
    <row r="9" spans="1:26" s="13" customFormat="1" ht="11.25" customHeight="1">
      <c r="A9" s="4" t="s">
        <v>50</v>
      </c>
      <c r="B9" s="7">
        <f t="shared" si="2"/>
        <v>1982590360</v>
      </c>
      <c r="C9" s="7">
        <f>268940000+4000000</f>
        <v>272940000</v>
      </c>
      <c r="D9" s="8">
        <v>24873000</v>
      </c>
      <c r="E9" s="8">
        <v>17799830</v>
      </c>
      <c r="F9" s="8">
        <v>131109770</v>
      </c>
      <c r="G9" s="8">
        <v>120529980</v>
      </c>
      <c r="H9" s="7">
        <v>7507460</v>
      </c>
      <c r="I9" s="8">
        <v>102749120</v>
      </c>
      <c r="J9" s="8">
        <v>65556410</v>
      </c>
      <c r="K9" s="8">
        <v>67387660</v>
      </c>
      <c r="L9" s="8">
        <v>50095650</v>
      </c>
      <c r="M9" s="7">
        <v>88966840</v>
      </c>
      <c r="N9" s="7">
        <f>3375250+15218560</f>
        <v>18593810</v>
      </c>
      <c r="O9" s="8">
        <v>177152450</v>
      </c>
      <c r="P9" s="8">
        <v>208525290</v>
      </c>
      <c r="Q9" s="8">
        <v>128468450</v>
      </c>
      <c r="R9" s="8">
        <v>36095630</v>
      </c>
      <c r="S9" s="8">
        <f>61339830+30978270+5376310</f>
        <v>97694410</v>
      </c>
      <c r="T9" s="8">
        <v>5544600</v>
      </c>
      <c r="U9" s="7"/>
      <c r="V9" s="8"/>
      <c r="W9" s="8"/>
      <c r="X9" s="8"/>
      <c r="Y9" s="8">
        <v>195000000</v>
      </c>
      <c r="Z9" s="8">
        <v>166000000</v>
      </c>
    </row>
    <row r="10" spans="1:26" ht="11.25" customHeight="1">
      <c r="A10" s="4" t="s">
        <v>4</v>
      </c>
      <c r="B10" s="7">
        <f t="shared" si="2"/>
        <v>0</v>
      </c>
      <c r="C10" s="7"/>
      <c r="D10" s="8"/>
      <c r="E10" s="8"/>
      <c r="F10" s="8"/>
      <c r="G10" s="8"/>
      <c r="H10" s="7"/>
      <c r="I10" s="8"/>
      <c r="J10" s="8"/>
      <c r="K10" s="8"/>
      <c r="L10" s="8"/>
      <c r="M10" s="7"/>
      <c r="N10" s="7"/>
      <c r="O10" s="8"/>
      <c r="P10" s="8"/>
      <c r="Q10" s="8"/>
      <c r="R10" s="8"/>
      <c r="S10" s="8"/>
      <c r="T10" s="8"/>
      <c r="U10" s="7"/>
      <c r="V10" s="8"/>
      <c r="W10" s="8"/>
      <c r="X10" s="8"/>
      <c r="Y10" s="8"/>
      <c r="Z10" s="8"/>
    </row>
    <row r="11" spans="1:26" s="14" customFormat="1" ht="11.25" customHeight="1">
      <c r="A11" s="21" t="s">
        <v>66</v>
      </c>
      <c r="B11" s="7">
        <f t="shared" si="2"/>
        <v>12000000</v>
      </c>
      <c r="C11" s="7"/>
      <c r="D11" s="8"/>
      <c r="E11" s="8"/>
      <c r="F11" s="8"/>
      <c r="G11" s="8"/>
      <c r="H11" s="7"/>
      <c r="I11" s="8"/>
      <c r="J11" s="8"/>
      <c r="K11" s="8"/>
      <c r="L11" s="8"/>
      <c r="M11" s="7"/>
      <c r="N11" s="7"/>
      <c r="O11" s="8"/>
      <c r="P11" s="8"/>
      <c r="Q11" s="8"/>
      <c r="R11" s="8"/>
      <c r="S11" s="8"/>
      <c r="T11" s="8"/>
      <c r="U11" s="9">
        <v>12000000</v>
      </c>
      <c r="V11" s="8"/>
      <c r="W11" s="8"/>
      <c r="X11" s="8"/>
      <c r="Y11" s="8"/>
      <c r="Z11" s="8"/>
    </row>
    <row r="12" spans="1:26" ht="11.25" customHeight="1">
      <c r="A12" s="4" t="s">
        <v>57</v>
      </c>
      <c r="B12" s="7">
        <f t="shared" si="2"/>
        <v>7598318</v>
      </c>
      <c r="C12" s="7">
        <f>1724175+5319505+22</f>
        <v>7043702</v>
      </c>
      <c r="D12" s="8"/>
      <c r="E12" s="8">
        <f>39935</f>
        <v>39935</v>
      </c>
      <c r="F12" s="8">
        <f>33326</f>
        <v>33326</v>
      </c>
      <c r="G12" s="8">
        <f>264119</f>
        <v>264119</v>
      </c>
      <c r="H12" s="7"/>
      <c r="I12" s="8">
        <f>6789</f>
        <v>6789</v>
      </c>
      <c r="J12" s="8">
        <f>3009</f>
        <v>3009</v>
      </c>
      <c r="K12" s="8">
        <f>16595</f>
        <v>16595</v>
      </c>
      <c r="L12" s="8">
        <f>23511</f>
        <v>23511</v>
      </c>
      <c r="M12" s="7">
        <f>21170</f>
        <v>21170</v>
      </c>
      <c r="N12" s="7">
        <f>381</f>
        <v>381</v>
      </c>
      <c r="O12" s="8">
        <f>4593</f>
        <v>4593</v>
      </c>
      <c r="P12" s="8">
        <f>12202</f>
        <v>12202</v>
      </c>
      <c r="Q12" s="8"/>
      <c r="R12" s="8"/>
      <c r="S12" s="8"/>
      <c r="T12" s="8"/>
      <c r="U12" s="7">
        <v>6647</v>
      </c>
      <c r="V12" s="8">
        <v>10720</v>
      </c>
      <c r="W12" s="8">
        <v>44592</v>
      </c>
      <c r="X12" s="8">
        <v>15101</v>
      </c>
      <c r="Y12" s="8">
        <v>51499</v>
      </c>
      <c r="Z12" s="8">
        <v>427</v>
      </c>
    </row>
    <row r="13" spans="1:26" s="2" customFormat="1" ht="11.25" customHeight="1">
      <c r="A13" s="11" t="s">
        <v>56</v>
      </c>
      <c r="B13" s="5">
        <f t="shared" si="2"/>
        <v>3743078910.4734817</v>
      </c>
      <c r="C13" s="5">
        <f aca="true" t="shared" si="3" ref="C13:Z13">SUM(C14:C38)</f>
        <v>288400370.9158044</v>
      </c>
      <c r="D13" s="5">
        <f t="shared" si="3"/>
        <v>24873000</v>
      </c>
      <c r="E13" s="5">
        <f t="shared" si="3"/>
        <v>53147734</v>
      </c>
      <c r="F13" s="5">
        <f t="shared" si="3"/>
        <v>261489919.24881306</v>
      </c>
      <c r="G13" s="5">
        <f t="shared" si="3"/>
        <v>187966548.91945833</v>
      </c>
      <c r="H13" s="5">
        <f t="shared" si="3"/>
        <v>7544144.534260139</v>
      </c>
      <c r="I13" s="5">
        <f t="shared" si="3"/>
        <v>121002147.52413285</v>
      </c>
      <c r="J13" s="5">
        <f t="shared" si="3"/>
        <v>68356132.78218913</v>
      </c>
      <c r="K13" s="5">
        <f t="shared" si="3"/>
        <v>68893334.03510046</v>
      </c>
      <c r="L13" s="5">
        <f t="shared" si="3"/>
        <v>52487532.541666664</v>
      </c>
      <c r="M13" s="5">
        <f t="shared" si="3"/>
        <v>122632426.5</v>
      </c>
      <c r="N13" s="5">
        <f t="shared" si="3"/>
        <v>18546290.833333336</v>
      </c>
      <c r="O13" s="5">
        <f t="shared" si="3"/>
        <v>184726806.89768118</v>
      </c>
      <c r="P13" s="5">
        <f t="shared" si="3"/>
        <v>216542520.15037563</v>
      </c>
      <c r="Q13" s="5">
        <f t="shared" si="3"/>
        <v>128527094.2985702</v>
      </c>
      <c r="R13" s="5">
        <f t="shared" si="3"/>
        <v>36095630</v>
      </c>
      <c r="S13" s="5">
        <f t="shared" si="3"/>
        <v>110649257.18907116</v>
      </c>
      <c r="T13" s="5">
        <f t="shared" si="3"/>
        <v>5544600</v>
      </c>
      <c r="U13" s="5">
        <f t="shared" si="3"/>
        <v>194857166.50016928</v>
      </c>
      <c r="V13" s="5">
        <f t="shared" si="3"/>
        <v>265631350.54887468</v>
      </c>
      <c r="W13" s="5">
        <f t="shared" si="3"/>
        <v>836917694.0976751</v>
      </c>
      <c r="X13" s="5">
        <f t="shared" si="3"/>
        <v>127195709.95630617</v>
      </c>
      <c r="Y13" s="5">
        <f t="shared" si="3"/>
        <v>195051499</v>
      </c>
      <c r="Z13" s="5">
        <f t="shared" si="3"/>
        <v>166000000</v>
      </c>
    </row>
    <row r="14" spans="1:26" ht="11.25" customHeight="1">
      <c r="A14" s="1" t="s">
        <v>27</v>
      </c>
      <c r="B14" s="7">
        <f t="shared" si="2"/>
        <v>2251572265</v>
      </c>
      <c r="C14" s="7">
        <v>207758970</v>
      </c>
      <c r="D14" s="8">
        <v>22029810</v>
      </c>
      <c r="E14" s="8">
        <f>10660010+2474252</f>
        <v>13134262</v>
      </c>
      <c r="F14" s="8">
        <f>81356130+871490+18634095</f>
        <v>100861715</v>
      </c>
      <c r="G14" s="8">
        <f>83794180+10211379</f>
        <v>94005559</v>
      </c>
      <c r="H14" s="7">
        <v>6345470</v>
      </c>
      <c r="I14" s="8">
        <f>77961200+4153920</f>
        <v>82115120</v>
      </c>
      <c r="J14" s="8">
        <f>42593760+1333757</f>
        <v>43927517</v>
      </c>
      <c r="K14" s="8">
        <f>41853960+682098</f>
        <v>42536058</v>
      </c>
      <c r="L14" s="8">
        <f>34363500+762915</f>
        <v>35126415</v>
      </c>
      <c r="M14" s="7">
        <f>63458800+528221</f>
        <v>63987021</v>
      </c>
      <c r="N14" s="7">
        <f>1743650+5588380+191330+189783</f>
        <v>7713143</v>
      </c>
      <c r="O14" s="8">
        <f>137747380+1601713</f>
        <v>139349093</v>
      </c>
      <c r="P14" s="8">
        <f>155608310+66142</f>
        <v>155674452</v>
      </c>
      <c r="Q14" s="8">
        <v>116277690</v>
      </c>
      <c r="R14" s="8">
        <v>32365400</v>
      </c>
      <c r="S14" s="8">
        <f>48414000+26568400</f>
        <v>74982400</v>
      </c>
      <c r="T14" s="8">
        <v>5544600</v>
      </c>
      <c r="U14" s="9">
        <f>147688142-10045220</f>
        <v>137642922</v>
      </c>
      <c r="V14" s="8">
        <f>193907186-12972080</f>
        <v>180935106</v>
      </c>
      <c r="W14" s="8">
        <f>654623005-52275110</f>
        <v>602347895</v>
      </c>
      <c r="X14" s="8">
        <v>86911647</v>
      </c>
      <c r="Y14" s="8"/>
      <c r="Z14" s="8"/>
    </row>
    <row r="15" spans="1:26" ht="11.25" customHeight="1">
      <c r="A15" s="1" t="s">
        <v>28</v>
      </c>
      <c r="B15" s="7">
        <f t="shared" si="2"/>
        <v>107610274</v>
      </c>
      <c r="C15" s="7">
        <v>17635610</v>
      </c>
      <c r="D15" s="8">
        <v>1513410</v>
      </c>
      <c r="E15" s="8"/>
      <c r="F15" s="8"/>
      <c r="G15" s="8"/>
      <c r="H15" s="7"/>
      <c r="I15" s="8"/>
      <c r="J15" s="8"/>
      <c r="K15" s="8"/>
      <c r="L15" s="8"/>
      <c r="M15" s="7"/>
      <c r="N15" s="7"/>
      <c r="O15" s="8"/>
      <c r="P15" s="8"/>
      <c r="Q15" s="8"/>
      <c r="R15" s="8"/>
      <c r="S15" s="8">
        <v>2214010</v>
      </c>
      <c r="T15" s="8"/>
      <c r="U15" s="9">
        <v>12317050</v>
      </c>
      <c r="V15" s="8">
        <v>15815987</v>
      </c>
      <c r="W15" s="8">
        <v>51325207</v>
      </c>
      <c r="X15" s="8">
        <v>6789000</v>
      </c>
      <c r="Y15" s="8"/>
      <c r="Z15" s="8"/>
    </row>
    <row r="16" spans="1:26" ht="11.25" customHeight="1">
      <c r="A16" s="1" t="s">
        <v>29</v>
      </c>
      <c r="B16" s="7">
        <f t="shared" si="2"/>
        <v>162822775</v>
      </c>
      <c r="C16" s="7">
        <v>16936280</v>
      </c>
      <c r="D16" s="8">
        <v>1329780</v>
      </c>
      <c r="E16" s="8">
        <v>393560</v>
      </c>
      <c r="F16" s="8">
        <v>5837380</v>
      </c>
      <c r="G16" s="8">
        <v>5134030</v>
      </c>
      <c r="H16" s="7">
        <v>49310</v>
      </c>
      <c r="I16" s="8">
        <v>5041120</v>
      </c>
      <c r="J16" s="8">
        <v>1889860</v>
      </c>
      <c r="K16" s="8">
        <v>2812460</v>
      </c>
      <c r="L16" s="8">
        <v>2348920</v>
      </c>
      <c r="M16" s="7">
        <v>2266580</v>
      </c>
      <c r="N16" s="7">
        <f>121010+256930</f>
        <v>377940</v>
      </c>
      <c r="O16" s="8">
        <v>8720380</v>
      </c>
      <c r="P16" s="8">
        <v>8397210</v>
      </c>
      <c r="Q16" s="8">
        <v>5417840</v>
      </c>
      <c r="R16" s="8">
        <v>1668680</v>
      </c>
      <c r="S16" s="8">
        <f>2177390+599330</f>
        <v>2776720</v>
      </c>
      <c r="T16" s="8"/>
      <c r="U16" s="9">
        <v>12913660</v>
      </c>
      <c r="V16" s="8">
        <v>17274680</v>
      </c>
      <c r="W16" s="8">
        <v>55600465</v>
      </c>
      <c r="X16" s="8">
        <v>5635920</v>
      </c>
      <c r="Y16" s="8"/>
      <c r="Z16" s="8"/>
    </row>
    <row r="17" spans="1:26" ht="11.25" customHeight="1">
      <c r="A17" s="1" t="s">
        <v>30</v>
      </c>
      <c r="B17" s="7">
        <f t="shared" si="2"/>
        <v>31316300</v>
      </c>
      <c r="C17" s="7">
        <v>3118500</v>
      </c>
      <c r="D17" s="8"/>
      <c r="E17" s="8">
        <v>160800</v>
      </c>
      <c r="F17" s="8">
        <v>340200</v>
      </c>
      <c r="G17" s="8">
        <v>458600</v>
      </c>
      <c r="H17" s="7"/>
      <c r="I17" s="8">
        <v>291600</v>
      </c>
      <c r="J17" s="8">
        <v>355000</v>
      </c>
      <c r="K17" s="8">
        <v>145800</v>
      </c>
      <c r="L17" s="8">
        <v>194400</v>
      </c>
      <c r="M17" s="7">
        <v>145800</v>
      </c>
      <c r="N17" s="7">
        <f>0+162200</f>
        <v>162200</v>
      </c>
      <c r="O17" s="8">
        <v>982800</v>
      </c>
      <c r="P17" s="8">
        <v>851400</v>
      </c>
      <c r="Q17" s="8">
        <v>583200</v>
      </c>
      <c r="R17" s="8"/>
      <c r="S17" s="8">
        <v>284200</v>
      </c>
      <c r="T17" s="8"/>
      <c r="U17" s="9">
        <v>3852200</v>
      </c>
      <c r="V17" s="8"/>
      <c r="W17" s="10">
        <v>19252200</v>
      </c>
      <c r="X17" s="8">
        <v>137400</v>
      </c>
      <c r="Y17" s="8"/>
      <c r="Z17" s="8"/>
    </row>
    <row r="18" spans="1:26" ht="11.25" customHeight="1">
      <c r="A18" s="1" t="s">
        <v>31</v>
      </c>
      <c r="B18" s="7">
        <f t="shared" si="2"/>
        <v>44913740</v>
      </c>
      <c r="C18" s="7">
        <v>6005290</v>
      </c>
      <c r="D18" s="8"/>
      <c r="E18" s="8">
        <v>513740</v>
      </c>
      <c r="F18" s="8">
        <v>4040420</v>
      </c>
      <c r="G18" s="8">
        <v>3446900</v>
      </c>
      <c r="H18" s="7"/>
      <c r="I18" s="8">
        <v>1856130</v>
      </c>
      <c r="J18" s="8">
        <v>1704500</v>
      </c>
      <c r="K18" s="8">
        <v>2277740</v>
      </c>
      <c r="L18" s="8">
        <v>1755890</v>
      </c>
      <c r="M18" s="7">
        <v>1082830</v>
      </c>
      <c r="N18" s="7">
        <f>133370+242820</f>
        <v>376190</v>
      </c>
      <c r="O18" s="8">
        <v>1851360</v>
      </c>
      <c r="P18" s="10">
        <v>8487160</v>
      </c>
      <c r="Q18" s="8">
        <v>537940</v>
      </c>
      <c r="R18" s="8"/>
      <c r="S18" s="8">
        <v>1227400</v>
      </c>
      <c r="T18" s="8"/>
      <c r="U18" s="9">
        <v>1151540</v>
      </c>
      <c r="V18" s="10">
        <v>537090</v>
      </c>
      <c r="W18" s="10">
        <v>7373620</v>
      </c>
      <c r="X18" s="10">
        <v>688000</v>
      </c>
      <c r="Y18" s="10"/>
      <c r="Z18" s="10"/>
    </row>
    <row r="19" spans="1:26" ht="11.25" customHeight="1">
      <c r="A19" s="1" t="s">
        <v>32</v>
      </c>
      <c r="B19" s="7">
        <f t="shared" si="2"/>
        <v>63086988</v>
      </c>
      <c r="C19" s="7"/>
      <c r="D19" s="8"/>
      <c r="E19" s="8"/>
      <c r="F19" s="8">
        <v>7912430</v>
      </c>
      <c r="G19" s="8">
        <v>12137180</v>
      </c>
      <c r="H19" s="7"/>
      <c r="I19" s="8">
        <v>4338530</v>
      </c>
      <c r="J19" s="8">
        <v>2472050</v>
      </c>
      <c r="K19" s="8">
        <v>5446750</v>
      </c>
      <c r="L19" s="8"/>
      <c r="M19" s="7"/>
      <c r="N19" s="7"/>
      <c r="O19" s="8">
        <v>2974420</v>
      </c>
      <c r="P19" s="8">
        <v>7331350</v>
      </c>
      <c r="Q19" s="8">
        <v>600000</v>
      </c>
      <c r="R19" s="8"/>
      <c r="S19" s="8">
        <v>3001730</v>
      </c>
      <c r="T19" s="8"/>
      <c r="U19" s="9">
        <v>1523322</v>
      </c>
      <c r="V19" s="8">
        <v>235075</v>
      </c>
      <c r="W19" s="8">
        <v>40000</v>
      </c>
      <c r="X19" s="8">
        <v>15074151</v>
      </c>
      <c r="Y19" s="8"/>
      <c r="Z19" s="8"/>
    </row>
    <row r="20" spans="1:26" ht="11.25" customHeight="1">
      <c r="A20" s="1" t="s">
        <v>33</v>
      </c>
      <c r="B20" s="7">
        <f t="shared" si="2"/>
        <v>21605770</v>
      </c>
      <c r="C20" s="7">
        <v>1983400</v>
      </c>
      <c r="D20" s="8"/>
      <c r="E20" s="8"/>
      <c r="F20" s="8">
        <v>2936000</v>
      </c>
      <c r="G20" s="8">
        <v>70000</v>
      </c>
      <c r="H20" s="7"/>
      <c r="I20" s="8">
        <v>407000</v>
      </c>
      <c r="J20" s="8">
        <v>961000</v>
      </c>
      <c r="K20" s="8"/>
      <c r="L20" s="8">
        <v>400000</v>
      </c>
      <c r="M20" s="7">
        <v>465000</v>
      </c>
      <c r="N20" s="7">
        <f>0+440000</f>
        <v>440000</v>
      </c>
      <c r="O20" s="8">
        <v>66000</v>
      </c>
      <c r="P20" s="8">
        <v>5686460</v>
      </c>
      <c r="Q20" s="8"/>
      <c r="R20" s="8"/>
      <c r="S20" s="8">
        <v>10000</v>
      </c>
      <c r="T20" s="8"/>
      <c r="U20" s="9"/>
      <c r="V20" s="8"/>
      <c r="W20" s="8">
        <v>8093910</v>
      </c>
      <c r="X20" s="8">
        <v>87000</v>
      </c>
      <c r="Y20" s="10"/>
      <c r="Z20" s="10"/>
    </row>
    <row r="21" spans="1:26" ht="11.25" customHeight="1">
      <c r="A21" s="1" t="s">
        <v>34</v>
      </c>
      <c r="B21" s="7">
        <f t="shared" si="2"/>
        <v>6605720</v>
      </c>
      <c r="C21" s="7">
        <v>652080</v>
      </c>
      <c r="D21" s="8"/>
      <c r="E21" s="8">
        <v>119500</v>
      </c>
      <c r="F21" s="8">
        <v>326350</v>
      </c>
      <c r="G21" s="8">
        <v>92550</v>
      </c>
      <c r="H21" s="7"/>
      <c r="I21" s="8"/>
      <c r="J21" s="8"/>
      <c r="K21" s="8">
        <v>53300</v>
      </c>
      <c r="L21" s="8">
        <v>123000</v>
      </c>
      <c r="M21" s="7">
        <v>280050</v>
      </c>
      <c r="N21" s="7">
        <v>23000</v>
      </c>
      <c r="O21" s="8">
        <v>290400</v>
      </c>
      <c r="P21" s="8">
        <v>149400</v>
      </c>
      <c r="Q21" s="8"/>
      <c r="R21" s="8"/>
      <c r="S21" s="8">
        <v>17500</v>
      </c>
      <c r="T21" s="8"/>
      <c r="U21" s="9"/>
      <c r="V21" s="8">
        <v>67840</v>
      </c>
      <c r="W21" s="8">
        <v>4054550</v>
      </c>
      <c r="X21" s="8">
        <v>356200</v>
      </c>
      <c r="Y21" s="8"/>
      <c r="Z21" s="8"/>
    </row>
    <row r="22" spans="1:26" ht="11.25" customHeight="1">
      <c r="A22" s="23" t="s">
        <v>35</v>
      </c>
      <c r="B22" s="7">
        <f t="shared" si="2"/>
        <v>49295000</v>
      </c>
      <c r="C22" s="7">
        <v>2206440</v>
      </c>
      <c r="D22" s="8"/>
      <c r="E22" s="8">
        <v>1555590</v>
      </c>
      <c r="F22" s="10">
        <v>7578260</v>
      </c>
      <c r="G22" s="8">
        <v>499780</v>
      </c>
      <c r="H22" s="7"/>
      <c r="I22" s="10">
        <v>5959110</v>
      </c>
      <c r="J22" s="8">
        <v>4343520</v>
      </c>
      <c r="K22" s="10">
        <v>2921200</v>
      </c>
      <c r="L22" s="8">
        <v>2613570</v>
      </c>
      <c r="M22" s="7">
        <v>5242560</v>
      </c>
      <c r="N22" s="7">
        <f>52000+2544540</f>
        <v>2596540</v>
      </c>
      <c r="O22" s="8">
        <v>1772820</v>
      </c>
      <c r="P22" s="8">
        <v>4249960</v>
      </c>
      <c r="Q22" s="8"/>
      <c r="R22" s="8"/>
      <c r="S22" s="8">
        <v>503300</v>
      </c>
      <c r="T22" s="8"/>
      <c r="U22" s="9">
        <v>261000</v>
      </c>
      <c r="V22" s="10">
        <v>413570</v>
      </c>
      <c r="W22" s="10">
        <v>2274030</v>
      </c>
      <c r="X22" s="10">
        <v>4303750</v>
      </c>
      <c r="Y22" s="10"/>
      <c r="Z22" s="10"/>
    </row>
    <row r="23" spans="1:26" ht="11.25" customHeight="1">
      <c r="A23" s="1" t="s">
        <v>36</v>
      </c>
      <c r="B23" s="7">
        <f t="shared" si="2"/>
        <v>58541520</v>
      </c>
      <c r="C23" s="7">
        <f>3672170+4000000</f>
        <v>7672170</v>
      </c>
      <c r="D23" s="8"/>
      <c r="E23" s="8">
        <v>100000</v>
      </c>
      <c r="F23" s="8">
        <v>1145000</v>
      </c>
      <c r="G23" s="8">
        <v>1347000</v>
      </c>
      <c r="H23" s="7">
        <v>15000</v>
      </c>
      <c r="I23" s="8">
        <v>1057000</v>
      </c>
      <c r="J23" s="8">
        <v>631000</v>
      </c>
      <c r="K23" s="8">
        <v>687410</v>
      </c>
      <c r="L23" s="8">
        <v>586000</v>
      </c>
      <c r="M23" s="7">
        <v>766000</v>
      </c>
      <c r="N23" s="7">
        <f>40000+140000</f>
        <v>180000</v>
      </c>
      <c r="O23" s="8">
        <v>2641000</v>
      </c>
      <c r="P23" s="8">
        <v>2579000</v>
      </c>
      <c r="Q23" s="8">
        <v>1768000</v>
      </c>
      <c r="R23" s="8">
        <v>1471000</v>
      </c>
      <c r="S23" s="8">
        <v>2676330</v>
      </c>
      <c r="T23" s="8"/>
      <c r="U23" s="9">
        <v>989950</v>
      </c>
      <c r="V23" s="8">
        <v>673040</v>
      </c>
      <c r="W23" s="8">
        <v>6536620</v>
      </c>
      <c r="X23" s="8">
        <v>36000</v>
      </c>
      <c r="Y23" s="8">
        <v>24984000</v>
      </c>
      <c r="Z23" s="8"/>
    </row>
    <row r="24" spans="1:26" ht="11.25" customHeight="1">
      <c r="A24" s="1" t="s">
        <v>37</v>
      </c>
      <c r="B24" s="7">
        <f t="shared" si="2"/>
        <v>1966600</v>
      </c>
      <c r="C24" s="7">
        <v>609600</v>
      </c>
      <c r="D24" s="8"/>
      <c r="E24" s="8"/>
      <c r="F24" s="8">
        <v>170500</v>
      </c>
      <c r="G24" s="8"/>
      <c r="H24" s="7"/>
      <c r="I24" s="8"/>
      <c r="J24" s="8">
        <v>15000</v>
      </c>
      <c r="K24" s="8">
        <v>59000</v>
      </c>
      <c r="L24" s="8"/>
      <c r="M24" s="7">
        <v>105000</v>
      </c>
      <c r="N24" s="7">
        <f>0+65000</f>
        <v>65000</v>
      </c>
      <c r="O24" s="8"/>
      <c r="P24" s="8"/>
      <c r="Q24" s="8">
        <v>16500</v>
      </c>
      <c r="R24" s="8"/>
      <c r="S24" s="8">
        <v>20000</v>
      </c>
      <c r="T24" s="8"/>
      <c r="U24" s="9">
        <v>15000</v>
      </c>
      <c r="V24" s="8">
        <v>141000</v>
      </c>
      <c r="W24" s="8">
        <v>555000</v>
      </c>
      <c r="X24" s="8">
        <v>195000</v>
      </c>
      <c r="Y24" s="8"/>
      <c r="Z24" s="8"/>
    </row>
    <row r="25" spans="1:26" ht="11.25" customHeight="1">
      <c r="A25" s="1" t="s">
        <v>38</v>
      </c>
      <c r="B25" s="7">
        <f t="shared" si="2"/>
        <v>19151900</v>
      </c>
      <c r="C25" s="7">
        <v>186780</v>
      </c>
      <c r="D25" s="8"/>
      <c r="E25" s="8">
        <v>100700</v>
      </c>
      <c r="F25" s="8">
        <v>1904660</v>
      </c>
      <c r="G25" s="8">
        <v>2707020</v>
      </c>
      <c r="H25" s="7">
        <v>10000</v>
      </c>
      <c r="I25" s="8">
        <v>1889270</v>
      </c>
      <c r="J25" s="8">
        <v>1105110</v>
      </c>
      <c r="K25" s="8">
        <v>945310</v>
      </c>
      <c r="L25" s="8">
        <v>30000</v>
      </c>
      <c r="M25" s="7">
        <v>195800</v>
      </c>
      <c r="N25" s="7">
        <f>0+99400</f>
        <v>99400</v>
      </c>
      <c r="O25" s="8">
        <v>614420</v>
      </c>
      <c r="P25" s="8">
        <v>3841850</v>
      </c>
      <c r="Q25" s="8">
        <v>522200</v>
      </c>
      <c r="R25" s="8">
        <v>134400</v>
      </c>
      <c r="S25" s="8">
        <f>1033770-334520</f>
        <v>699250</v>
      </c>
      <c r="T25" s="8"/>
      <c r="U25" s="9">
        <v>796650</v>
      </c>
      <c r="V25" s="8">
        <v>548910</v>
      </c>
      <c r="W25" s="8">
        <v>1960600</v>
      </c>
      <c r="X25" s="8">
        <v>859570</v>
      </c>
      <c r="Y25" s="8"/>
      <c r="Z25" s="8"/>
    </row>
    <row r="26" spans="1:26" ht="11.25" customHeight="1">
      <c r="A26" s="1" t="s">
        <v>39</v>
      </c>
      <c r="B26" s="7">
        <f t="shared" si="2"/>
        <v>17000</v>
      </c>
      <c r="C26" s="7"/>
      <c r="D26" s="8"/>
      <c r="E26" s="8"/>
      <c r="F26" s="8"/>
      <c r="G26" s="8"/>
      <c r="H26" s="7"/>
      <c r="I26" s="8"/>
      <c r="J26" s="8"/>
      <c r="K26" s="8"/>
      <c r="L26" s="8"/>
      <c r="M26" s="7"/>
      <c r="N26" s="7"/>
      <c r="O26" s="8"/>
      <c r="P26" s="8"/>
      <c r="Q26" s="8"/>
      <c r="R26" s="8"/>
      <c r="S26" s="8"/>
      <c r="T26" s="8"/>
      <c r="U26" s="9"/>
      <c r="V26" s="8"/>
      <c r="W26" s="8"/>
      <c r="X26" s="8">
        <v>17000</v>
      </c>
      <c r="Y26" s="8"/>
      <c r="Z26" s="8"/>
    </row>
    <row r="27" spans="1:26" ht="11.25" customHeight="1">
      <c r="A27" s="1" t="s">
        <v>40</v>
      </c>
      <c r="B27" s="7">
        <f t="shared" si="2"/>
        <v>5808930</v>
      </c>
      <c r="C27" s="7">
        <v>88500</v>
      </c>
      <c r="D27" s="8"/>
      <c r="E27" s="8"/>
      <c r="F27" s="8"/>
      <c r="G27" s="8">
        <v>300000</v>
      </c>
      <c r="H27" s="7"/>
      <c r="I27" s="8">
        <v>180000</v>
      </c>
      <c r="J27" s="8">
        <v>100000</v>
      </c>
      <c r="K27" s="8"/>
      <c r="L27" s="8"/>
      <c r="M27" s="7">
        <v>70000</v>
      </c>
      <c r="N27" s="7">
        <v>20000</v>
      </c>
      <c r="O27" s="8">
        <v>740000</v>
      </c>
      <c r="P27" s="8">
        <v>510000</v>
      </c>
      <c r="Q27" s="8">
        <v>479000</v>
      </c>
      <c r="R27" s="8">
        <v>120000</v>
      </c>
      <c r="S27" s="8">
        <v>37850</v>
      </c>
      <c r="T27" s="8"/>
      <c r="U27" s="9">
        <v>673350</v>
      </c>
      <c r="V27" s="8">
        <v>1015680</v>
      </c>
      <c r="W27" s="10">
        <v>1086850</v>
      </c>
      <c r="X27" s="8">
        <v>387700</v>
      </c>
      <c r="Y27" s="8"/>
      <c r="Z27" s="8"/>
    </row>
    <row r="28" spans="1:26" ht="11.25" customHeight="1">
      <c r="A28" s="1" t="s">
        <v>41</v>
      </c>
      <c r="B28" s="7">
        <f t="shared" si="2"/>
        <v>11153780</v>
      </c>
      <c r="C28" s="9">
        <v>4620000</v>
      </c>
      <c r="D28" s="10"/>
      <c r="E28" s="10"/>
      <c r="F28" s="10">
        <v>96930</v>
      </c>
      <c r="G28" s="10">
        <v>215190</v>
      </c>
      <c r="H28" s="9"/>
      <c r="I28" s="10">
        <v>70840</v>
      </c>
      <c r="J28" s="10">
        <v>313290</v>
      </c>
      <c r="K28" s="10">
        <v>289040</v>
      </c>
      <c r="L28" s="10"/>
      <c r="M28" s="9"/>
      <c r="N28" s="9"/>
      <c r="O28" s="10">
        <v>156430</v>
      </c>
      <c r="P28" s="10">
        <v>719870</v>
      </c>
      <c r="Q28" s="10"/>
      <c r="R28" s="10"/>
      <c r="S28" s="10">
        <f>550450+629600</f>
        <v>1180050</v>
      </c>
      <c r="T28" s="10"/>
      <c r="U28" s="9">
        <v>403940</v>
      </c>
      <c r="V28" s="10">
        <v>325000</v>
      </c>
      <c r="W28" s="10">
        <v>1224000</v>
      </c>
      <c r="X28" s="10">
        <v>1539200</v>
      </c>
      <c r="Y28" s="10"/>
      <c r="Z28" s="10"/>
    </row>
    <row r="29" spans="1:26" ht="11.25" customHeight="1">
      <c r="A29" s="1" t="s">
        <v>42</v>
      </c>
      <c r="B29" s="7">
        <f t="shared" si="2"/>
        <v>68682690</v>
      </c>
      <c r="C29" s="7">
        <v>319980</v>
      </c>
      <c r="D29" s="8"/>
      <c r="E29" s="8">
        <v>2631930</v>
      </c>
      <c r="F29" s="8">
        <v>8548120</v>
      </c>
      <c r="G29" s="8">
        <v>5838400</v>
      </c>
      <c r="H29" s="7"/>
      <c r="I29" s="8">
        <v>2515140</v>
      </c>
      <c r="J29" s="8">
        <v>4863550</v>
      </c>
      <c r="K29" s="8">
        <v>2489270</v>
      </c>
      <c r="L29" s="8">
        <v>5445360</v>
      </c>
      <c r="M29" s="7">
        <v>14862730</v>
      </c>
      <c r="N29" s="7">
        <f>127400+2251750</f>
        <v>2379150</v>
      </c>
      <c r="O29" s="8">
        <v>6682340</v>
      </c>
      <c r="P29" s="8">
        <v>5638800</v>
      </c>
      <c r="Q29" s="8"/>
      <c r="R29" s="8"/>
      <c r="S29" s="8"/>
      <c r="T29" s="8"/>
      <c r="U29" s="7">
        <v>1500000</v>
      </c>
      <c r="V29" s="8">
        <v>1500000</v>
      </c>
      <c r="W29" s="8">
        <v>1655260</v>
      </c>
      <c r="X29" s="8">
        <v>1812660</v>
      </c>
      <c r="Y29" s="8"/>
      <c r="Z29" s="8"/>
    </row>
    <row r="30" spans="1:26" s="25" customFormat="1" ht="11.25" customHeight="1">
      <c r="A30" s="23" t="s">
        <v>51</v>
      </c>
      <c r="B30" s="9">
        <f t="shared" si="2"/>
        <v>33604488.47348172</v>
      </c>
      <c r="C30" s="9">
        <v>3839497.9158043764</v>
      </c>
      <c r="D30" s="10"/>
      <c r="E30" s="10"/>
      <c r="F30" s="10">
        <v>3087564.2488130755</v>
      </c>
      <c r="G30" s="10">
        <v>7472129.919458308</v>
      </c>
      <c r="H30" s="9">
        <v>36684.53426013895</v>
      </c>
      <c r="I30" s="10">
        <v>6493564.5241328515</v>
      </c>
      <c r="J30" s="10">
        <v>2710557.782189125</v>
      </c>
      <c r="K30" s="10">
        <v>1373576.0351004603</v>
      </c>
      <c r="L30" s="10">
        <v>830873.5416666666</v>
      </c>
      <c r="M30" s="9">
        <v>138682.5</v>
      </c>
      <c r="N30" s="9">
        <v>451375.8333333333</v>
      </c>
      <c r="O30" s="10">
        <v>1221839.8976811832</v>
      </c>
      <c r="P30" s="10">
        <v>2021257.1503756293</v>
      </c>
      <c r="Q30" s="10">
        <v>58644.29857020041</v>
      </c>
      <c r="R30" s="10"/>
      <c r="S30" s="10">
        <v>1588039.1890711684</v>
      </c>
      <c r="T30" s="10"/>
      <c r="U30" s="9">
        <v>1495518.5001692823</v>
      </c>
      <c r="V30" s="10">
        <v>31816.548874687505</v>
      </c>
      <c r="W30" s="10">
        <v>154418.0976750598</v>
      </c>
      <c r="X30" s="10">
        <v>598447.9563061757</v>
      </c>
      <c r="Y30" s="10"/>
      <c r="Z30" s="10"/>
    </row>
    <row r="31" spans="1:26" ht="11.25" customHeight="1">
      <c r="A31" s="1" t="s">
        <v>43</v>
      </c>
      <c r="B31" s="7">
        <f t="shared" si="2"/>
        <v>29155560</v>
      </c>
      <c r="C31" s="7">
        <v>724400</v>
      </c>
      <c r="D31" s="8"/>
      <c r="E31" s="8">
        <f>1432000+855433</f>
        <v>2287433</v>
      </c>
      <c r="F31" s="10">
        <f>4985500+7879979</f>
        <v>12865479</v>
      </c>
      <c r="G31" s="10">
        <f>946000+5208160</f>
        <v>6154160</v>
      </c>
      <c r="H31" s="7"/>
      <c r="I31" s="8">
        <f>303600+25750</f>
        <v>329350</v>
      </c>
      <c r="J31" s="8">
        <v>267330</v>
      </c>
      <c r="K31" s="8"/>
      <c r="L31" s="8">
        <f>190290+500</f>
        <v>190790</v>
      </c>
      <c r="M31" s="7">
        <f>1019370+704049</f>
        <v>1723419</v>
      </c>
      <c r="N31" s="7">
        <f>141906+92556</f>
        <v>234462</v>
      </c>
      <c r="O31" s="8">
        <v>500</v>
      </c>
      <c r="P31" s="8">
        <f>37500+50890</f>
        <v>88390</v>
      </c>
      <c r="Q31" s="8">
        <v>200000</v>
      </c>
      <c r="R31" s="8"/>
      <c r="S31" s="8">
        <v>2954500</v>
      </c>
      <c r="T31" s="8"/>
      <c r="U31" s="7">
        <v>107744</v>
      </c>
      <c r="V31" s="8">
        <v>107152</v>
      </c>
      <c r="W31" s="8">
        <v>588827</v>
      </c>
      <c r="X31" s="8">
        <v>331624</v>
      </c>
      <c r="Y31" s="8"/>
      <c r="Z31" s="8"/>
    </row>
    <row r="32" spans="1:26" ht="11.25" customHeight="1">
      <c r="A32" s="1" t="s">
        <v>44</v>
      </c>
      <c r="B32" s="7">
        <f t="shared" si="2"/>
        <v>12925540</v>
      </c>
      <c r="C32" s="7">
        <v>2422000</v>
      </c>
      <c r="D32" s="8"/>
      <c r="E32" s="8">
        <v>132000</v>
      </c>
      <c r="F32" s="8">
        <v>580000</v>
      </c>
      <c r="G32" s="8"/>
      <c r="H32" s="7"/>
      <c r="I32" s="8"/>
      <c r="J32" s="8">
        <v>595000</v>
      </c>
      <c r="K32" s="8"/>
      <c r="L32" s="8">
        <v>125000</v>
      </c>
      <c r="M32" s="7">
        <v>514500</v>
      </c>
      <c r="N32" s="7">
        <f>0+501600</f>
        <v>501600</v>
      </c>
      <c r="O32" s="8"/>
      <c r="P32" s="8">
        <v>120000</v>
      </c>
      <c r="Q32" s="8"/>
      <c r="R32" s="8"/>
      <c r="S32" s="8"/>
      <c r="T32" s="8"/>
      <c r="U32" s="7">
        <v>1569600</v>
      </c>
      <c r="V32" s="8">
        <v>1713800</v>
      </c>
      <c r="W32" s="8">
        <v>3469100</v>
      </c>
      <c r="X32" s="8">
        <v>1182940</v>
      </c>
      <c r="Y32" s="8"/>
      <c r="Z32" s="8"/>
    </row>
    <row r="33" spans="1:26" ht="11.25" customHeight="1">
      <c r="A33" s="1" t="s">
        <v>45</v>
      </c>
      <c r="B33" s="7">
        <f t="shared" si="2"/>
        <v>12000000</v>
      </c>
      <c r="C33" s="7"/>
      <c r="D33" s="8"/>
      <c r="E33" s="8"/>
      <c r="F33" s="8"/>
      <c r="G33" s="8"/>
      <c r="H33" s="7"/>
      <c r="I33" s="8"/>
      <c r="J33" s="8"/>
      <c r="K33" s="8"/>
      <c r="L33" s="8"/>
      <c r="M33" s="7"/>
      <c r="N33" s="7"/>
      <c r="O33" s="8"/>
      <c r="P33" s="8"/>
      <c r="Q33" s="8"/>
      <c r="R33" s="8"/>
      <c r="S33" s="8"/>
      <c r="T33" s="8"/>
      <c r="U33" s="7"/>
      <c r="V33" s="10">
        <v>12000000</v>
      </c>
      <c r="W33" s="8"/>
      <c r="X33" s="8"/>
      <c r="Y33" s="8"/>
      <c r="Z33" s="8"/>
    </row>
    <row r="34" spans="1:26" s="14" customFormat="1" ht="11.25" customHeight="1">
      <c r="A34" s="1" t="s">
        <v>52</v>
      </c>
      <c r="B34" s="7">
        <f t="shared" si="2"/>
        <v>0</v>
      </c>
      <c r="C34" s="7"/>
      <c r="D34" s="8"/>
      <c r="E34" s="8"/>
      <c r="F34" s="8"/>
      <c r="G34" s="8"/>
      <c r="H34" s="7"/>
      <c r="I34" s="8"/>
      <c r="J34" s="8"/>
      <c r="K34" s="8"/>
      <c r="L34" s="8"/>
      <c r="M34" s="7"/>
      <c r="N34" s="7"/>
      <c r="O34" s="8"/>
      <c r="P34" s="8"/>
      <c r="Q34" s="8"/>
      <c r="R34" s="8"/>
      <c r="S34" s="8"/>
      <c r="T34" s="8"/>
      <c r="U34" s="7"/>
      <c r="V34" s="8"/>
      <c r="W34" s="8"/>
      <c r="X34" s="8"/>
      <c r="Y34" s="8"/>
      <c r="Z34" s="8"/>
    </row>
    <row r="35" spans="1:26" s="14" customFormat="1" ht="11.25" customHeight="1">
      <c r="A35" s="1" t="s">
        <v>53</v>
      </c>
      <c r="B35" s="7">
        <f t="shared" si="2"/>
        <v>0</v>
      </c>
      <c r="C35" s="7"/>
      <c r="D35" s="8"/>
      <c r="E35" s="8"/>
      <c r="F35" s="8"/>
      <c r="G35" s="8"/>
      <c r="H35" s="7"/>
      <c r="I35" s="8"/>
      <c r="J35" s="8"/>
      <c r="K35" s="8"/>
      <c r="L35" s="8"/>
      <c r="M35" s="7"/>
      <c r="N35" s="7"/>
      <c r="O35" s="8"/>
      <c r="P35" s="8"/>
      <c r="Q35" s="8"/>
      <c r="R35" s="8"/>
      <c r="S35" s="8"/>
      <c r="T35" s="8"/>
      <c r="U35" s="7"/>
      <c r="V35" s="8"/>
      <c r="W35" s="8"/>
      <c r="X35" s="8"/>
      <c r="Y35" s="8"/>
      <c r="Z35" s="8"/>
    </row>
    <row r="36" spans="1:26" s="14" customFormat="1" ht="11.25" customHeight="1">
      <c r="A36" s="1" t="s">
        <v>54</v>
      </c>
      <c r="B36" s="7">
        <f t="shared" si="2"/>
        <v>52500</v>
      </c>
      <c r="C36" s="7"/>
      <c r="D36" s="8"/>
      <c r="E36" s="8"/>
      <c r="F36" s="8"/>
      <c r="G36" s="8"/>
      <c r="H36" s="7"/>
      <c r="I36" s="8"/>
      <c r="J36" s="8"/>
      <c r="K36" s="8"/>
      <c r="L36" s="8"/>
      <c r="M36" s="7"/>
      <c r="N36" s="7"/>
      <c r="O36" s="8"/>
      <c r="P36" s="8"/>
      <c r="Q36" s="8"/>
      <c r="R36" s="8"/>
      <c r="S36" s="8"/>
      <c r="T36" s="8"/>
      <c r="U36" s="7"/>
      <c r="V36" s="8"/>
      <c r="W36" s="8"/>
      <c r="X36" s="8">
        <v>52500</v>
      </c>
      <c r="Y36" s="8"/>
      <c r="Z36" s="8"/>
    </row>
    <row r="37" spans="1:26" s="14" customFormat="1" ht="11.25" customHeight="1">
      <c r="A37" s="1" t="s">
        <v>55</v>
      </c>
      <c r="B37" s="7">
        <f t="shared" si="2"/>
        <v>447643593</v>
      </c>
      <c r="C37" s="7"/>
      <c r="D37" s="8"/>
      <c r="E37" s="8">
        <f>13000+6581753</f>
        <v>6594753</v>
      </c>
      <c r="F37" s="8">
        <v>64669510</v>
      </c>
      <c r="G37" s="8"/>
      <c r="H37" s="7"/>
      <c r="I37" s="8">
        <f>3870000+30250</f>
        <v>3900250</v>
      </c>
      <c r="J37" s="8"/>
      <c r="K37" s="8">
        <v>8375540</v>
      </c>
      <c r="L37" s="8"/>
      <c r="M37" s="7">
        <v>25817710</v>
      </c>
      <c r="N37" s="7">
        <f>1393100+692730</f>
        <v>2085830</v>
      </c>
      <c r="O37" s="8"/>
      <c r="P37" s="8"/>
      <c r="Q37" s="8"/>
      <c r="R37" s="8"/>
      <c r="S37" s="8"/>
      <c r="T37" s="8"/>
      <c r="U37" s="7"/>
      <c r="V37" s="8"/>
      <c r="W37" s="8"/>
      <c r="X37" s="8">
        <v>200000</v>
      </c>
      <c r="Y37" s="10">
        <v>170000000</v>
      </c>
      <c r="Z37" s="10">
        <v>166000000</v>
      </c>
    </row>
    <row r="38" spans="1:26" ht="11.25" customHeight="1">
      <c r="A38" s="18" t="s">
        <v>65</v>
      </c>
      <c r="B38" s="7">
        <f t="shared" si="2"/>
        <v>303545977</v>
      </c>
      <c r="C38" s="7">
        <f>7043680+4577193</f>
        <v>11620873</v>
      </c>
      <c r="D38" s="8">
        <v>0</v>
      </c>
      <c r="E38" s="8">
        <f>25423466</f>
        <v>25423466</v>
      </c>
      <c r="F38" s="8">
        <f>3131890+35457511</f>
        <v>38589401</v>
      </c>
      <c r="G38" s="8">
        <f>3543150+44544900</f>
        <v>48088050</v>
      </c>
      <c r="H38" s="7">
        <v>1087680</v>
      </c>
      <c r="I38" s="8">
        <f>-3673420+8231543</f>
        <v>4558123</v>
      </c>
      <c r="J38" s="8">
        <f>616270+1485578</f>
        <v>2101848</v>
      </c>
      <c r="K38" s="8">
        <v>-1519120</v>
      </c>
      <c r="L38" s="8">
        <f>1919720+797594</f>
        <v>2717314</v>
      </c>
      <c r="M38" s="7">
        <f>-1778180+6746924</f>
        <v>4968744</v>
      </c>
      <c r="N38" s="7">
        <f>1114820-274360</f>
        <v>840460</v>
      </c>
      <c r="O38" s="8">
        <f>10962700+5700304</f>
        <v>16663004</v>
      </c>
      <c r="P38" s="8">
        <f>4317020+5878941</f>
        <v>10195961</v>
      </c>
      <c r="Q38" s="8">
        <v>2066080</v>
      </c>
      <c r="R38" s="8">
        <v>336150</v>
      </c>
      <c r="S38" s="8">
        <f>4790700+18470+300000+11366808</f>
        <v>16475978</v>
      </c>
      <c r="T38" s="8">
        <v>0</v>
      </c>
      <c r="U38" s="24">
        <f>10604860+7038860</f>
        <v>17643720</v>
      </c>
      <c r="V38" s="24">
        <f>19354744+12940860</f>
        <v>32295604</v>
      </c>
      <c r="W38" s="24">
        <f>58413802+10911340</f>
        <v>69325142</v>
      </c>
      <c r="X38" s="8">
        <v>0</v>
      </c>
      <c r="Y38" s="8">
        <v>67499</v>
      </c>
      <c r="Z38" s="8">
        <v>0</v>
      </c>
    </row>
    <row r="39" spans="1:26" s="2" customFormat="1" ht="11.25" customHeight="1">
      <c r="A39" s="11" t="s">
        <v>46</v>
      </c>
      <c r="B39" s="5">
        <f t="shared" si="2"/>
        <v>-64537242.473481745</v>
      </c>
      <c r="C39" s="5">
        <f>C5-C13</f>
        <v>-8416668.915804386</v>
      </c>
      <c r="D39" s="5">
        <f aca="true" t="shared" si="4" ref="D39:V39">D5-D13</f>
        <v>0</v>
      </c>
      <c r="E39" s="5">
        <f t="shared" si="4"/>
        <v>-24127369</v>
      </c>
      <c r="F39" s="5">
        <f t="shared" si="4"/>
        <v>-1187823.248813063</v>
      </c>
      <c r="G39" s="5">
        <f>G5-G13</f>
        <v>-2414049.9194583297</v>
      </c>
      <c r="H39" s="5">
        <f t="shared" si="4"/>
        <v>-36684.53426013887</v>
      </c>
      <c r="I39" s="5">
        <f aca="true" t="shared" si="5" ref="I39:O39">I5-I13</f>
        <v>250761.4758671522</v>
      </c>
      <c r="J39" s="5">
        <f t="shared" si="5"/>
        <v>5798786.217810869</v>
      </c>
      <c r="K39" s="5">
        <f t="shared" si="5"/>
        <v>2467920.96489954</v>
      </c>
      <c r="L39" s="5">
        <f t="shared" si="5"/>
        <v>2784292.458333336</v>
      </c>
      <c r="M39" s="5">
        <f t="shared" si="5"/>
        <v>-4830916.5</v>
      </c>
      <c r="N39" s="5">
        <f t="shared" si="5"/>
        <v>4816200.166666664</v>
      </c>
      <c r="O39" s="5">
        <f t="shared" si="5"/>
        <v>2098036.1023188233</v>
      </c>
      <c r="P39" s="5">
        <f t="shared" si="4"/>
        <v>-7685028.150375634</v>
      </c>
      <c r="Q39" s="5">
        <f t="shared" si="4"/>
        <v>-58644.2985702008</v>
      </c>
      <c r="R39" s="5">
        <f t="shared" si="4"/>
        <v>0</v>
      </c>
      <c r="S39" s="5">
        <f t="shared" si="4"/>
        <v>-12954847.189071164</v>
      </c>
      <c r="T39" s="5">
        <f>T5-T13</f>
        <v>0</v>
      </c>
      <c r="U39" s="5">
        <f t="shared" si="4"/>
        <v>-4263175.500169277</v>
      </c>
      <c r="V39" s="5">
        <f t="shared" si="4"/>
        <v>-3539032.548874676</v>
      </c>
      <c r="W39" s="5">
        <f>W5-W13</f>
        <v>-9064748.097675085</v>
      </c>
      <c r="X39" s="5">
        <f>X5-X13</f>
        <v>-4174678.9563061744</v>
      </c>
      <c r="Y39" s="5">
        <f>Y5-Y13</f>
        <v>0</v>
      </c>
      <c r="Z39" s="5">
        <f>Z5-Z13</f>
        <v>427</v>
      </c>
    </row>
    <row r="40" spans="1:26" s="2" customFormat="1" ht="11.25" customHeight="1">
      <c r="A40" s="11" t="s">
        <v>47</v>
      </c>
      <c r="B40" s="5">
        <f t="shared" si="2"/>
        <v>0</v>
      </c>
      <c r="C40" s="5"/>
      <c r="D40" s="12"/>
      <c r="E40" s="12"/>
      <c r="F40" s="12"/>
      <c r="G40" s="12"/>
      <c r="H40" s="5"/>
      <c r="I40" s="12"/>
      <c r="J40" s="12"/>
      <c r="K40" s="12"/>
      <c r="L40" s="12"/>
      <c r="M40" s="5"/>
      <c r="N40" s="5"/>
      <c r="O40" s="12"/>
      <c r="P40" s="12"/>
      <c r="Q40" s="12"/>
      <c r="R40" s="12"/>
      <c r="S40" s="12"/>
      <c r="T40" s="12"/>
      <c r="U40" s="5"/>
      <c r="V40" s="12"/>
      <c r="W40" s="12"/>
      <c r="X40" s="12"/>
      <c r="Y40" s="12"/>
      <c r="Z40" s="12"/>
    </row>
    <row r="41" spans="1:26" s="2" customFormat="1" ht="11.25" customHeight="1">
      <c r="A41" s="11" t="s">
        <v>48</v>
      </c>
      <c r="B41" s="5">
        <f t="shared" si="2"/>
        <v>0</v>
      </c>
      <c r="C41" s="5"/>
      <c r="D41" s="12"/>
      <c r="E41" s="12"/>
      <c r="F41" s="12"/>
      <c r="G41" s="12"/>
      <c r="H41" s="5"/>
      <c r="I41" s="12"/>
      <c r="J41" s="12"/>
      <c r="K41" s="12"/>
      <c r="L41" s="12"/>
      <c r="M41" s="5"/>
      <c r="N41" s="5"/>
      <c r="O41" s="12"/>
      <c r="P41" s="12"/>
      <c r="Q41" s="12"/>
      <c r="R41" s="12"/>
      <c r="S41" s="12"/>
      <c r="T41" s="12"/>
      <c r="U41" s="5"/>
      <c r="V41" s="12"/>
      <c r="W41" s="12"/>
      <c r="X41" s="12"/>
      <c r="Y41" s="12"/>
      <c r="Z41" s="12"/>
    </row>
    <row r="42" spans="1:26" ht="11.25" customHeight="1">
      <c r="A42" s="11" t="s">
        <v>49</v>
      </c>
      <c r="B42" s="5">
        <f t="shared" si="2"/>
        <v>-64537242.473481745</v>
      </c>
      <c r="C42" s="5">
        <f>C39+C40-C41</f>
        <v>-8416668.915804386</v>
      </c>
      <c r="D42" s="5">
        <f>D39+D40-D41</f>
        <v>0</v>
      </c>
      <c r="E42" s="5">
        <f>E39+E40-E41</f>
        <v>-24127369</v>
      </c>
      <c r="F42" s="5">
        <f>F39+F40-F41</f>
        <v>-1187823.248813063</v>
      </c>
      <c r="G42" s="5">
        <f aca="true" t="shared" si="6" ref="G42:O42">G39+G40-G41</f>
        <v>-2414049.9194583297</v>
      </c>
      <c r="H42" s="5">
        <f t="shared" si="6"/>
        <v>-36684.53426013887</v>
      </c>
      <c r="I42" s="5">
        <f t="shared" si="6"/>
        <v>250761.4758671522</v>
      </c>
      <c r="J42" s="5">
        <f t="shared" si="6"/>
        <v>5798786.217810869</v>
      </c>
      <c r="K42" s="5">
        <f t="shared" si="6"/>
        <v>2467920.96489954</v>
      </c>
      <c r="L42" s="5">
        <f t="shared" si="6"/>
        <v>2784292.458333336</v>
      </c>
      <c r="M42" s="5">
        <f t="shared" si="6"/>
        <v>-4830916.5</v>
      </c>
      <c r="N42" s="5">
        <f t="shared" si="6"/>
        <v>4816200.166666664</v>
      </c>
      <c r="O42" s="5">
        <f t="shared" si="6"/>
        <v>2098036.1023188233</v>
      </c>
      <c r="P42" s="5">
        <f aca="true" t="shared" si="7" ref="P42:Y42">P39+P40-P41</f>
        <v>-7685028.150375634</v>
      </c>
      <c r="Q42" s="5">
        <f t="shared" si="7"/>
        <v>-58644.2985702008</v>
      </c>
      <c r="R42" s="5">
        <f t="shared" si="7"/>
        <v>0</v>
      </c>
      <c r="S42" s="5">
        <f t="shared" si="7"/>
        <v>-12954847.189071164</v>
      </c>
      <c r="T42" s="5">
        <f t="shared" si="7"/>
        <v>0</v>
      </c>
      <c r="U42" s="5">
        <f t="shared" si="7"/>
        <v>-4263175.500169277</v>
      </c>
      <c r="V42" s="5">
        <f t="shared" si="7"/>
        <v>-3539032.548874676</v>
      </c>
      <c r="W42" s="5">
        <f t="shared" si="7"/>
        <v>-9064748.097675085</v>
      </c>
      <c r="X42" s="5">
        <f t="shared" si="7"/>
        <v>-4174678.9563061744</v>
      </c>
      <c r="Y42" s="5">
        <f t="shared" si="7"/>
        <v>0</v>
      </c>
      <c r="Z42" s="5">
        <f>Z39+Z40-Z41</f>
        <v>427</v>
      </c>
    </row>
    <row r="43" ht="16.5"/>
    <row r="44" s="16" customFormat="1" ht="12"/>
    <row r="45" ht="16.5"/>
    <row r="46" spans="3:26" ht="16.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54" ht="16.5"/>
    <row r="55" ht="16.5"/>
    <row r="58" ht="16.5"/>
    <row r="59" ht="16.5"/>
  </sheetData>
  <sheetProtection/>
  <mergeCells count="27">
    <mergeCell ref="T3:T4"/>
    <mergeCell ref="L3:L4"/>
    <mergeCell ref="Z3:Z4"/>
    <mergeCell ref="V3:V4"/>
    <mergeCell ref="W3:W4"/>
    <mergeCell ref="Y3:Y4"/>
    <mergeCell ref="Q3:Q4"/>
    <mergeCell ref="X3:X4"/>
    <mergeCell ref="U3:U4"/>
    <mergeCell ref="S3:S4"/>
    <mergeCell ref="R3:R4"/>
    <mergeCell ref="O3:O4"/>
    <mergeCell ref="J3:J4"/>
    <mergeCell ref="N3:N4"/>
    <mergeCell ref="P3:P4"/>
    <mergeCell ref="I3:I4"/>
    <mergeCell ref="K3:K4"/>
    <mergeCell ref="M3:M4"/>
    <mergeCell ref="A2:B2"/>
    <mergeCell ref="H3:H4"/>
    <mergeCell ref="C3:C4"/>
    <mergeCell ref="D3:D4"/>
    <mergeCell ref="E3:E4"/>
    <mergeCell ref="F3:F4"/>
    <mergeCell ref="B3:B4"/>
    <mergeCell ref="A3:A4"/>
    <mergeCell ref="G3:G4"/>
  </mergeCells>
  <printOptions/>
  <pageMargins left="0.7086614173228347" right="0.7086614173228347" top="0.44" bottom="0.59" header="0.16" footer="0.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김타ㅣ</dc:creator>
  <cp:keywords/>
  <dc:description/>
  <cp:lastModifiedBy>NA</cp:lastModifiedBy>
  <cp:lastPrinted>2015-01-29T06:56:28Z</cp:lastPrinted>
  <dcterms:created xsi:type="dcterms:W3CDTF">2012-08-28T15:24:50Z</dcterms:created>
  <dcterms:modified xsi:type="dcterms:W3CDTF">2015-04-03T06:33:46Z</dcterms:modified>
  <cp:category/>
  <cp:version/>
  <cp:contentType/>
  <cp:contentStatus/>
</cp:coreProperties>
</file>